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riveE\Local Disk\Arsheev\کارگاه حضوری\صورتهای مالی\"/>
    </mc:Choice>
  </mc:AlternateContent>
  <bookViews>
    <workbookView xWindow="0" yWindow="0" windowWidth="20490" windowHeight="7755" tabRatio="935"/>
  </bookViews>
  <sheets>
    <sheet name="assembly" sheetId="49" r:id="rId1"/>
    <sheet name="balance sheet" sheetId="1" r:id="rId2"/>
    <sheet name="income" sheetId="2" r:id="rId3"/>
    <sheet name="history." sheetId="47" r:id="rId4"/>
    <sheet name="4-5-6" sheetId="52" r:id="rId5"/>
    <sheet name="7-8" sheetId="10" r:id="rId6"/>
    <sheet name="9" sheetId="15" r:id="rId7"/>
    <sheet name="10-11-12-13" sheetId="18" r:id="rId8"/>
    <sheet name="14" sheetId="51" r:id="rId9"/>
    <sheet name="15" sheetId="53" r:id="rId10"/>
    <sheet name="16-17" sheetId="34" r:id="rId11"/>
    <sheet name="18" sheetId="37" r:id="rId12"/>
    <sheet name="19" sheetId="40" r:id="rId13"/>
    <sheet name="19-1" sheetId="41" r:id="rId14"/>
    <sheet name="20" sheetId="54" r:id="rId15"/>
    <sheet name="21-22-23" sheetId="43" r:id="rId16"/>
  </sheets>
  <definedNames>
    <definedName name="kol">#REF!</definedName>
    <definedName name="moein">#REF!</definedName>
    <definedName name="_xlnm.Print_Area" localSheetId="5">'7-8'!$A$1:$I$35</definedName>
    <definedName name="Z_77FE9A31_615C_11D9_8076_000F3DEC765A_.wvu.Cols" localSheetId="7" hidden="1">'10-11-12-13'!$K:$K</definedName>
    <definedName name="Z_77FE9A31_615C_11D9_8076_000F3DEC765A_.wvu.PrintArea" localSheetId="13" hidden="1">'19-1'!$A$1:$M$41</definedName>
    <definedName name="Z_77FE9A31_615C_11D9_8076_000F3DEC765A_.wvu.PrintArea" localSheetId="1" hidden="1">'balance sheet'!$A$2:$T$35</definedName>
    <definedName name="Z_8BABEDE0_61D1_11D9_A0C2_0080AD86BB50_.wvu.Cols" localSheetId="7" hidden="1">'10-11-12-13'!$K:$K</definedName>
    <definedName name="Z_8BABEDE0_61D1_11D9_A0C2_0080AD86BB50_.wvu.PrintArea" localSheetId="13" hidden="1">'19-1'!$A$1:$M$41</definedName>
    <definedName name="Z_8BABEDE0_61D1_11D9_A0C2_0080AD86BB50_.wvu.PrintArea" localSheetId="1" hidden="1">'balance sheet'!$A$2:$T$35</definedName>
  </definedNames>
  <calcPr calcId="152511"/>
  <customWorkbookViews>
    <customWorkbookView name="ABABSI - Personal View" guid="{77FE9A31-615C-11D9-8076-000F3DEC765A}" mergeInterval="0" personalView="1" maximized="1" windowWidth="763" windowHeight="407" tabRatio="886" activeSheetId="33"/>
    <customWorkbookView name="ي¨ ™ë «¬ - Personal View" guid="{8BABEDE0-61D1-11D9-A0C2-0080AD86BB50}" mergeInterval="0" personalView="1" maximized="1" windowWidth="796" windowHeight="431" tabRatio="886" activeSheetId="1"/>
  </customWorkbookViews>
</workbook>
</file>

<file path=xl/calcChain.xml><?xml version="1.0" encoding="utf-8"?>
<calcChain xmlns="http://schemas.openxmlformats.org/spreadsheetml/2006/main">
  <c r="G7" i="34" l="1"/>
  <c r="G6" i="34"/>
  <c r="E7" i="34"/>
  <c r="E6" i="34"/>
  <c r="J18" i="53"/>
  <c r="G18" i="53"/>
  <c r="G24" i="54" l="1"/>
  <c r="I12" i="15"/>
  <c r="I14" i="15" s="1"/>
  <c r="H43" i="18"/>
  <c r="F73" i="52"/>
  <c r="K43" i="18" l="1"/>
  <c r="K34" i="18"/>
  <c r="K39" i="18"/>
  <c r="K36" i="18"/>
  <c r="K41" i="18"/>
  <c r="I22" i="10"/>
  <c r="I110" i="52"/>
  <c r="I19" i="10"/>
  <c r="I73" i="52"/>
  <c r="F21" i="10"/>
  <c r="H32" i="18"/>
  <c r="H34" i="18"/>
  <c r="E37" i="37"/>
  <c r="J10" i="37"/>
  <c r="J9" i="37"/>
  <c r="E9" i="37"/>
  <c r="E11" i="37" s="1"/>
  <c r="G4" i="2" s="1"/>
  <c r="J6" i="43"/>
  <c r="J8" i="2" s="1"/>
  <c r="H6" i="43"/>
  <c r="D8" i="2" s="1"/>
  <c r="F11" i="41"/>
  <c r="J9" i="53"/>
  <c r="J12" i="43"/>
  <c r="H39" i="43"/>
  <c r="H24" i="43"/>
  <c r="H12" i="43"/>
  <c r="G11" i="54"/>
  <c r="D20" i="54"/>
  <c r="G22" i="54"/>
  <c r="G20" i="54"/>
  <c r="D15" i="54"/>
  <c r="D19" i="54"/>
  <c r="D22" i="54"/>
  <c r="G21" i="54"/>
  <c r="D21" i="54"/>
  <c r="G19" i="54"/>
  <c r="G15" i="54"/>
  <c r="G13" i="54"/>
  <c r="D17" i="54"/>
  <c r="D16" i="54"/>
  <c r="D11" i="54"/>
  <c r="I18" i="41"/>
  <c r="C11" i="41"/>
  <c r="J11" i="37" l="1"/>
  <c r="J4" i="2" s="1"/>
  <c r="G10" i="53"/>
  <c r="J10" i="53"/>
  <c r="S8" i="51" l="1"/>
  <c r="K65" i="18" l="1"/>
  <c r="S6" i="1" s="1"/>
  <c r="H65" i="18"/>
  <c r="P6" i="1" s="1"/>
  <c r="I95" i="52"/>
  <c r="I91" i="52"/>
  <c r="I93" i="52"/>
  <c r="I85" i="52"/>
  <c r="I86" i="52"/>
  <c r="I87" i="52"/>
  <c r="I88" i="52"/>
  <c r="I81" i="52"/>
  <c r="I80" i="52"/>
  <c r="H28" i="18"/>
  <c r="H29" i="18"/>
  <c r="K29" i="18"/>
  <c r="I23" i="10"/>
  <c r="I24" i="10"/>
  <c r="F24" i="10"/>
  <c r="K31" i="18"/>
  <c r="H31" i="18"/>
  <c r="H41" i="18"/>
  <c r="K18" i="18"/>
  <c r="S4" i="1" s="1"/>
  <c r="H18" i="18"/>
  <c r="P4" i="1" s="1"/>
  <c r="K44" i="18" l="1"/>
  <c r="H44" i="18"/>
  <c r="K4" i="18"/>
  <c r="H4" i="18"/>
  <c r="H5" i="18"/>
  <c r="K7" i="18"/>
  <c r="H7" i="18"/>
  <c r="K5" i="18"/>
  <c r="T9" i="15"/>
  <c r="Q9" i="15"/>
  <c r="G9" i="15"/>
  <c r="D9" i="15"/>
  <c r="T8" i="15"/>
  <c r="T12" i="15" s="1"/>
  <c r="Q8" i="15"/>
  <c r="Q12" i="15" s="1"/>
  <c r="Q11" i="15"/>
  <c r="D11" i="15"/>
  <c r="H6" i="18" l="1"/>
  <c r="H8" i="18" s="1"/>
  <c r="K6" i="18"/>
  <c r="K8" i="18" s="1"/>
  <c r="G8" i="15"/>
  <c r="AC11" i="15"/>
  <c r="D8" i="15"/>
  <c r="D12" i="15" s="1"/>
  <c r="N11" i="15"/>
  <c r="AI11" i="15"/>
  <c r="AF11" i="15" l="1"/>
  <c r="F22" i="10"/>
  <c r="I37" i="52"/>
  <c r="F37" i="52"/>
  <c r="I74" i="52" l="1"/>
  <c r="H5" i="1" s="1"/>
  <c r="I7" i="52"/>
  <c r="H4" i="1" s="1"/>
  <c r="F7" i="52"/>
  <c r="E4" i="1" s="1"/>
  <c r="E20" i="34"/>
  <c r="S11" i="51"/>
  <c r="S13" i="51" s="1"/>
  <c r="S7" i="1" s="1"/>
  <c r="P5" i="1"/>
  <c r="G20" i="34"/>
  <c r="I100" i="52"/>
  <c r="P11" i="51"/>
  <c r="P13" i="51" s="1"/>
  <c r="P7" i="1" s="1"/>
  <c r="J26" i="2"/>
  <c r="J14" i="43"/>
  <c r="J11" i="2" s="1"/>
  <c r="H14" i="43"/>
  <c r="D11" i="2" s="1"/>
  <c r="G25" i="54"/>
  <c r="J7" i="2" s="1"/>
  <c r="J9" i="2" s="1"/>
  <c r="D25" i="54"/>
  <c r="D7" i="2" s="1"/>
  <c r="G9" i="2" s="1"/>
  <c r="I25" i="41"/>
  <c r="F25" i="41"/>
  <c r="C25" i="41"/>
  <c r="G10" i="40" s="1"/>
  <c r="J22" i="53"/>
  <c r="S11" i="1"/>
  <c r="P11" i="1"/>
  <c r="L53" i="18"/>
  <c r="H12" i="1"/>
  <c r="E12" i="1"/>
  <c r="G12" i="15"/>
  <c r="G14" i="15" s="1"/>
  <c r="N6" i="15"/>
  <c r="AI7" i="15"/>
  <c r="N13" i="15"/>
  <c r="AF13" i="15" s="1"/>
  <c r="T14" i="15"/>
  <c r="N8" i="15"/>
  <c r="AI10" i="15"/>
  <c r="N10" i="15"/>
  <c r="AC10" i="15"/>
  <c r="AC9" i="15"/>
  <c r="AC7" i="15"/>
  <c r="AC6" i="15"/>
  <c r="AC5" i="15"/>
  <c r="N9" i="15"/>
  <c r="N5" i="15"/>
  <c r="I25" i="10"/>
  <c r="F25" i="10"/>
  <c r="I7" i="10"/>
  <c r="H7" i="1" s="1"/>
  <c r="F7" i="10"/>
  <c r="E7" i="1" s="1"/>
  <c r="I111" i="52"/>
  <c r="H6" i="1" s="1"/>
  <c r="F111" i="52"/>
  <c r="E6" i="1" s="1"/>
  <c r="F74" i="52"/>
  <c r="E5" i="1" s="1"/>
  <c r="G8" i="34"/>
  <c r="S12" i="1" s="1"/>
  <c r="E8" i="34"/>
  <c r="P12" i="1" s="1"/>
  <c r="L6" i="15"/>
  <c r="O6" i="15" s="1"/>
  <c r="L8" i="15"/>
  <c r="O8" i="15" s="1"/>
  <c r="L13" i="15"/>
  <c r="O13" i="15" s="1"/>
  <c r="AG13" i="15" s="1"/>
  <c r="O5" i="15"/>
  <c r="AG5" i="15" s="1"/>
  <c r="AG12" i="15" s="1"/>
  <c r="AG14" i="15" s="1"/>
  <c r="F11" i="1" s="1"/>
  <c r="F14" i="1" s="1"/>
  <c r="F19" i="1" s="1"/>
  <c r="O7" i="15"/>
  <c r="O9" i="15"/>
  <c r="AI13" i="15"/>
  <c r="AI9" i="15"/>
  <c r="AI5" i="15"/>
  <c r="G24" i="41"/>
  <c r="G25" i="41" s="1"/>
  <c r="J110" i="52"/>
  <c r="J111" i="52" s="1"/>
  <c r="I6" i="1" s="1"/>
  <c r="L43" i="18"/>
  <c r="L39" i="18"/>
  <c r="K25" i="2"/>
  <c r="T5" i="1"/>
  <c r="T13" i="51"/>
  <c r="L8" i="18"/>
  <c r="I8" i="18"/>
  <c r="F12" i="1"/>
  <c r="K8" i="2"/>
  <c r="E8" i="2"/>
  <c r="K26" i="2"/>
  <c r="K12" i="2"/>
  <c r="E12" i="2"/>
  <c r="E11" i="2"/>
  <c r="H13" i="2" s="1"/>
  <c r="H25" i="54"/>
  <c r="K7" i="2" s="1"/>
  <c r="M24" i="41"/>
  <c r="M15" i="41"/>
  <c r="M22" i="41"/>
  <c r="M20" i="41"/>
  <c r="M25" i="41" s="1"/>
  <c r="D25" i="41"/>
  <c r="K10" i="40"/>
  <c r="K13" i="40"/>
  <c r="K5" i="2" s="1"/>
  <c r="H10" i="40"/>
  <c r="H13" i="40" s="1"/>
  <c r="H5" i="2" s="1"/>
  <c r="F37" i="37"/>
  <c r="K4" i="2"/>
  <c r="K6" i="2" s="1"/>
  <c r="K18" i="53"/>
  <c r="K19" i="53"/>
  <c r="K10" i="53"/>
  <c r="K14" i="53" s="1"/>
  <c r="T6" i="1" s="1"/>
  <c r="H10" i="53"/>
  <c r="Q8" i="1"/>
  <c r="Q7" i="1"/>
  <c r="Q13" i="51"/>
  <c r="U8" i="15"/>
  <c r="U12" i="15" s="1"/>
  <c r="U14" i="15" s="1"/>
  <c r="R12" i="15"/>
  <c r="R14" i="15" s="1"/>
  <c r="J19" i="10"/>
  <c r="J26" i="10" s="1"/>
  <c r="I8" i="1" s="1"/>
  <c r="G19" i="10"/>
  <c r="G26" i="10" s="1"/>
  <c r="F8" i="1" s="1"/>
  <c r="G111" i="52"/>
  <c r="F6" i="1" s="1"/>
  <c r="H23" i="47"/>
  <c r="F23" i="47"/>
  <c r="E25" i="54"/>
  <c r="E7" i="2" s="1"/>
  <c r="G28" i="2"/>
  <c r="H4" i="2"/>
  <c r="H6" i="2" s="1"/>
  <c r="H22" i="53"/>
  <c r="W5" i="15"/>
  <c r="Z5" i="15"/>
  <c r="AJ5" i="15"/>
  <c r="W6" i="15"/>
  <c r="Z6" i="15"/>
  <c r="AD6" i="15"/>
  <c r="W7" i="15"/>
  <c r="Z7" i="15"/>
  <c r="AD7" i="15"/>
  <c r="AJ7" i="15"/>
  <c r="W8" i="15"/>
  <c r="Z8" i="15"/>
  <c r="W9" i="15"/>
  <c r="Z9" i="15"/>
  <c r="AD9" i="15"/>
  <c r="AJ9" i="15"/>
  <c r="K12" i="15"/>
  <c r="K14" i="15" s="1"/>
  <c r="Q14" i="15"/>
  <c r="W10" i="15"/>
  <c r="Z10" i="15"/>
  <c r="AD10" i="15"/>
  <c r="AG10" i="15" s="1"/>
  <c r="AJ10" i="15"/>
  <c r="X12" i="15"/>
  <c r="X14" i="15" s="1"/>
  <c r="W14" i="15" s="1"/>
  <c r="AA12" i="15"/>
  <c r="Z12" i="15" s="1"/>
  <c r="AJ13" i="15"/>
  <c r="G7" i="10"/>
  <c r="F7" i="1" s="1"/>
  <c r="J7" i="10"/>
  <c r="I7" i="1" s="1"/>
  <c r="G7" i="52"/>
  <c r="F4" i="1" s="1"/>
  <c r="J7" i="52"/>
  <c r="I4" i="1" s="1"/>
  <c r="J74" i="52"/>
  <c r="I5" i="1" s="1"/>
  <c r="G74" i="52"/>
  <c r="F5" i="1" s="1"/>
  <c r="I12" i="1"/>
  <c r="AJ6" i="15"/>
  <c r="E25" i="2"/>
  <c r="H26" i="2" s="1"/>
  <c r="H40" i="43"/>
  <c r="J40" i="43"/>
  <c r="J25" i="41"/>
  <c r="Q5" i="1"/>
  <c r="Q9" i="1" s="1"/>
  <c r="F19" i="10"/>
  <c r="F26" i="10" s="1"/>
  <c r="I26" i="10"/>
  <c r="E12" i="15"/>
  <c r="E14" i="15" s="1"/>
  <c r="AJ8" i="15"/>
  <c r="L25" i="41"/>
  <c r="S5" i="1"/>
  <c r="T4" i="1"/>
  <c r="K53" i="18"/>
  <c r="G12" i="53"/>
  <c r="G14" i="53" s="1"/>
  <c r="P8" i="1" s="1"/>
  <c r="G26" i="2"/>
  <c r="K11" i="2"/>
  <c r="K13" i="2" s="1"/>
  <c r="T13" i="1"/>
  <c r="AD8" i="15"/>
  <c r="AI6" i="15"/>
  <c r="AC8" i="15"/>
  <c r="D14" i="15"/>
  <c r="N7" i="15"/>
  <c r="AI8" i="15"/>
  <c r="AC12" i="15" l="1"/>
  <c r="AA14" i="15"/>
  <c r="Z14" i="15" s="1"/>
  <c r="N12" i="15"/>
  <c r="N14" i="15" s="1"/>
  <c r="AG6" i="15"/>
  <c r="W12" i="15"/>
  <c r="K9" i="2"/>
  <c r="K10" i="2" s="1"/>
  <c r="H9" i="2"/>
  <c r="H10" i="2" s="1"/>
  <c r="H14" i="2" s="1"/>
  <c r="H16" i="2" s="1"/>
  <c r="H23" i="2" s="1"/>
  <c r="H27" i="2" s="1"/>
  <c r="H29" i="2" s="1"/>
  <c r="Q17" i="1" s="1"/>
  <c r="Q18" i="1" s="1"/>
  <c r="Q19" i="1" s="1"/>
  <c r="G13" i="40"/>
  <c r="G5" i="2" s="1"/>
  <c r="G6" i="2" s="1"/>
  <c r="G10" i="2" s="1"/>
  <c r="K22" i="53"/>
  <c r="I28" i="10"/>
  <c r="H8" i="1" s="1"/>
  <c r="H9" i="1" s="1"/>
  <c r="F28" i="10"/>
  <c r="E8" i="1" s="1"/>
  <c r="E9" i="1" s="1"/>
  <c r="L12" i="15"/>
  <c r="L14" i="15" s="1"/>
  <c r="AG8" i="15"/>
  <c r="O12" i="15"/>
  <c r="O14" i="15" s="1"/>
  <c r="AG7" i="15"/>
  <c r="AF5" i="15"/>
  <c r="AF10" i="15"/>
  <c r="AF9" i="15"/>
  <c r="AC14" i="15"/>
  <c r="AI12" i="15"/>
  <c r="AI14" i="15" s="1"/>
  <c r="H11" i="1" s="1"/>
  <c r="H14" i="1" s="1"/>
  <c r="AF7" i="15"/>
  <c r="G13" i="2"/>
  <c r="J13" i="2"/>
  <c r="AD12" i="15"/>
  <c r="AD14" i="15" s="1"/>
  <c r="AJ12" i="15"/>
  <c r="AJ14" i="15" s="1"/>
  <c r="I11" i="1" s="1"/>
  <c r="I13" i="1" s="1"/>
  <c r="AG9" i="15"/>
  <c r="AF8" i="15"/>
  <c r="S13" i="1"/>
  <c r="J12" i="53"/>
  <c r="J14" i="53" s="1"/>
  <c r="S8" i="1" s="1"/>
  <c r="S9" i="1" s="1"/>
  <c r="G22" i="53"/>
  <c r="P13" i="1"/>
  <c r="AF6" i="15"/>
  <c r="P9" i="1"/>
  <c r="F9" i="1"/>
  <c r="J10" i="40"/>
  <c r="T14" i="1"/>
  <c r="K14" i="2" l="1"/>
  <c r="K16" i="2" s="1"/>
  <c r="K23" i="2" s="1"/>
  <c r="K27" i="2" s="1"/>
  <c r="K29" i="2" s="1"/>
  <c r="J13" i="40"/>
  <c r="J5" i="2" s="1"/>
  <c r="J6" i="2" s="1"/>
  <c r="J10" i="2" s="1"/>
  <c r="G14" i="2"/>
  <c r="G16" i="2" s="1"/>
  <c r="G23" i="2" s="1"/>
  <c r="G27" i="2" s="1"/>
  <c r="G29" i="2" s="1"/>
  <c r="P17" i="1" s="1"/>
  <c r="P18" i="1" s="1"/>
  <c r="P14" i="1"/>
  <c r="AF12" i="15"/>
  <c r="AF14" i="15" s="1"/>
  <c r="E11" i="1" s="1"/>
  <c r="E14" i="1" s="1"/>
  <c r="E19" i="1" s="1"/>
  <c r="S14" i="1"/>
  <c r="I14" i="1"/>
  <c r="H19" i="1"/>
  <c r="J14" i="2" l="1"/>
  <c r="J16" i="2" s="1"/>
  <c r="J23" i="2" s="1"/>
  <c r="J27" i="2" s="1"/>
  <c r="J29" i="2" s="1"/>
  <c r="S17" i="1" s="1"/>
  <c r="S18" i="1" s="1"/>
  <c r="S19" i="1" s="1"/>
  <c r="P19" i="1"/>
</calcChain>
</file>

<file path=xl/comments1.xml><?xml version="1.0" encoding="utf-8"?>
<comments xmlns="http://schemas.openxmlformats.org/spreadsheetml/2006/main">
  <authors>
    <author>1</author>
  </authors>
  <commentList>
    <comment ref="L43" authorId="0" shapeId="0">
      <text>
        <r>
          <rPr>
            <b/>
            <sz val="9"/>
            <color indexed="81"/>
            <rFont val="Tahoma"/>
            <family val="2"/>
          </rPr>
          <t>1:</t>
        </r>
        <r>
          <rPr>
            <sz val="9"/>
            <color indexed="81"/>
            <rFont val="Tahoma"/>
            <family val="2"/>
          </rPr>
          <t xml:space="preserve">
تعدیلات 
43941000+1062030+30000-18080934
</t>
        </r>
      </text>
    </comment>
  </commentList>
</comments>
</file>

<file path=xl/sharedStrings.xml><?xml version="1.0" encoding="utf-8"?>
<sst xmlns="http://schemas.openxmlformats.org/spreadsheetml/2006/main" count="694" uniqueCount="462">
  <si>
    <t>سایر</t>
  </si>
  <si>
    <t>نرم افزارهای کامپیوتری</t>
  </si>
  <si>
    <t>تسعير ارز :</t>
  </si>
  <si>
    <t xml:space="preserve">دستمزدمستقيم </t>
  </si>
  <si>
    <t>موجودي مواد وكالا</t>
  </si>
  <si>
    <t>كالاي ساخته شده</t>
  </si>
  <si>
    <t>1- ترازنامه</t>
  </si>
  <si>
    <t>2- صورت سود و زيان</t>
  </si>
  <si>
    <t>3- صورت جريان وجوه نقد</t>
  </si>
  <si>
    <t>ب - مبناي تهيه صورتهاي مالي</t>
  </si>
  <si>
    <t>پ - خلاصه اهم رويه‌هاي حسابداري</t>
  </si>
  <si>
    <t>ت - يادداشتهاي مربوط به اقلام مندرج در صورتهاي مالي و ساير اطلاعات مالي</t>
  </si>
  <si>
    <t>اعضاء هيئت مديره</t>
  </si>
  <si>
    <t>سمت</t>
  </si>
  <si>
    <t>اثاثه و منصوبات</t>
  </si>
  <si>
    <t>شماره صفحه</t>
  </si>
  <si>
    <t>ذخــيره ماليــات</t>
  </si>
  <si>
    <t>درصد سهام</t>
  </si>
  <si>
    <t>20-</t>
  </si>
  <si>
    <t>موادمستقيم مصرفي</t>
  </si>
  <si>
    <t>-</t>
  </si>
  <si>
    <t>دستمزد مستقيم</t>
  </si>
  <si>
    <t>سربارتوليد</t>
  </si>
  <si>
    <t>حقوق ودستمزد</t>
  </si>
  <si>
    <t>حق اولاد</t>
  </si>
  <si>
    <t>یادداشت</t>
  </si>
  <si>
    <t>سرفصل فوق متشكل ازاقلام زير مي باشد:</t>
  </si>
  <si>
    <t>14-</t>
  </si>
  <si>
    <t>مبناي تهيه صورتهاي مالي</t>
  </si>
  <si>
    <t>خلاصه اهم رويه هاي حسابداري</t>
  </si>
  <si>
    <t>روش مورد استفاده</t>
  </si>
  <si>
    <t>شرح اقلام</t>
  </si>
  <si>
    <t>تاسيسات</t>
  </si>
  <si>
    <t>19-</t>
  </si>
  <si>
    <t>21-</t>
  </si>
  <si>
    <t>23-</t>
  </si>
  <si>
    <t>1-</t>
  </si>
  <si>
    <t>2-</t>
  </si>
  <si>
    <t>3-</t>
  </si>
  <si>
    <t>بدهي هاي جاري :</t>
  </si>
  <si>
    <t>جمع دارائيهاي جاري</t>
  </si>
  <si>
    <t>17-</t>
  </si>
  <si>
    <t>تسهیلات مالی دریافتی</t>
  </si>
  <si>
    <t>22-</t>
  </si>
  <si>
    <t>اسناد دريافتني تجاري</t>
  </si>
  <si>
    <t>صورتهاي مالي اساسا" برمبناي بهاي تمام شده تاريخي تهيه و در موارد مقتضی از ارزشهای جاری نیز استفاده شده است.</t>
  </si>
  <si>
    <t>3-1-</t>
  </si>
  <si>
    <t>3-2-</t>
  </si>
  <si>
    <t>3-2-1-</t>
  </si>
  <si>
    <t>3-2-2-</t>
  </si>
  <si>
    <t>3-3-</t>
  </si>
  <si>
    <t>مجمع عمومی عادی صاحبان سهام</t>
  </si>
  <si>
    <t>16-</t>
  </si>
  <si>
    <t>ريال</t>
  </si>
  <si>
    <t>5-</t>
  </si>
  <si>
    <t>6-</t>
  </si>
  <si>
    <t>7-</t>
  </si>
  <si>
    <t>8-</t>
  </si>
  <si>
    <t>10-</t>
  </si>
  <si>
    <t>12-</t>
  </si>
  <si>
    <t>اسناد پرداختنی</t>
  </si>
  <si>
    <t>مانده حسابهاي پرداختني غیرتجاري متشكل ازاقلام ذيل مي باشد:</t>
  </si>
  <si>
    <t>عیدی و پاداش</t>
  </si>
  <si>
    <t>سایرحسابها واسناد پرداختني</t>
  </si>
  <si>
    <t xml:space="preserve">هزينه هاي مالي </t>
  </si>
  <si>
    <t>موجودي نقد</t>
  </si>
  <si>
    <t>دارائيهاي جــاري :</t>
  </si>
  <si>
    <t>يادداشت</t>
  </si>
  <si>
    <t>ذخيره ماليات</t>
  </si>
  <si>
    <t>جمع دارائيها</t>
  </si>
  <si>
    <t>دارائيـــــها</t>
  </si>
  <si>
    <t xml:space="preserve">تعديـلات سنواتي </t>
  </si>
  <si>
    <t>دارائيهاي غير جاري :</t>
  </si>
  <si>
    <t xml:space="preserve">جمع دارائيهاي غير جاري </t>
  </si>
  <si>
    <t>دارائيهاي ثابت مشهود</t>
  </si>
  <si>
    <t>دارائيهاي نامشهود</t>
  </si>
  <si>
    <t xml:space="preserve">سايرحسابها واسناد پرداختني </t>
  </si>
  <si>
    <t>تسهيلات مالي دريافتي</t>
  </si>
  <si>
    <t>هزينه هاي فروش،اداري وعمومي</t>
  </si>
  <si>
    <t>3-4-</t>
  </si>
  <si>
    <t>هزينه هاي مالي</t>
  </si>
  <si>
    <t>مخارج تامين مالي:</t>
  </si>
  <si>
    <t>دارائيهاي ثابت مشهود:</t>
  </si>
  <si>
    <t>تاريخچه فعاليت شركت</t>
  </si>
  <si>
    <t>دارائي</t>
  </si>
  <si>
    <t>نرخ استهلاك</t>
  </si>
  <si>
    <t>روش استهلاك</t>
  </si>
  <si>
    <t xml:space="preserve">ساختمانها </t>
  </si>
  <si>
    <t>اضافه کاری</t>
  </si>
  <si>
    <t>بن کارگری</t>
  </si>
  <si>
    <t>1-3-</t>
  </si>
  <si>
    <t>جمع بدهيها وحقوق صاحبان سهام</t>
  </si>
  <si>
    <t xml:space="preserve">يادداشت </t>
  </si>
  <si>
    <t>موجودي مواد و كالا</t>
  </si>
  <si>
    <t xml:space="preserve">جمع بدهيهاي جاري </t>
  </si>
  <si>
    <t>حقوق صاحبان سهام :</t>
  </si>
  <si>
    <t xml:space="preserve">جمع حقوق صاحبان سهام </t>
  </si>
  <si>
    <t>بانک صادرات</t>
  </si>
  <si>
    <t xml:space="preserve">سود ناخالص  </t>
  </si>
  <si>
    <t xml:space="preserve">سود عملياتي  </t>
  </si>
  <si>
    <t>زمين</t>
  </si>
  <si>
    <t>ساختمان</t>
  </si>
  <si>
    <t>سود قابل تخصیص</t>
  </si>
  <si>
    <t xml:space="preserve">با احترام </t>
  </si>
  <si>
    <t>گردش حساب سود (زیان) انباشته</t>
  </si>
  <si>
    <t>4- يادداشتهاي توضيحي :</t>
  </si>
  <si>
    <t>الف - تاريخچه فعاليت</t>
  </si>
  <si>
    <t xml:space="preserve"> 1388/12/29</t>
  </si>
  <si>
    <t>یادداشتهای توضیحی همراه جزه لاینفک صورتهای مالی است.</t>
  </si>
  <si>
    <t>دارائيهاي اضافه شده طی سال مالی</t>
  </si>
  <si>
    <t>دارائيهاي فروخته شده طی سال مالی</t>
  </si>
  <si>
    <t>نقل و انتقالات و سایر تغییرات</t>
  </si>
  <si>
    <t>مانده در پایان سال</t>
  </si>
  <si>
    <t>مانده در ابتدای سال</t>
  </si>
  <si>
    <t>استهلاك سال مالی</t>
  </si>
  <si>
    <t>استهلاك انباشته دارائیهای فروخته شده</t>
  </si>
  <si>
    <t>ماشین آلات و تجهیزات</t>
  </si>
  <si>
    <t>اثاثیه و منصوبات</t>
  </si>
  <si>
    <t>ابزار آلات</t>
  </si>
  <si>
    <t>موجودی نزد بانکها</t>
  </si>
  <si>
    <t>ریال</t>
  </si>
  <si>
    <t>رئیس هیات مدیره</t>
  </si>
  <si>
    <t>نایب رئیس هیات مدیره</t>
  </si>
  <si>
    <t>دارائيهاي ثابت مشهود، برمبناي بهاي تمام شده درحسابهاثبت مي شود. مخارج بهسازي وتعميرات اساسي كه باعث افزايش قابل ملاحظه در ظرفيت يا عمر مفيد دارائيهاي ثابت يا بهبود اساسي دركيفيت بازدهي آنها مي گردد،  به عنوان مخارج سرمايه اي محسوب و طي عمر مفيد باقيمانده دارائيهاي مربوط مستهلك مي شود. هزينه هاي نگهداري و تعميرات جزئي كه بمنظور حفظ يا ترميم منافع اقتصادي موردانتظار واحد تجاري از استاندارد عملكرد ارزيابي شده اوليه دارائي انجام مي شود، هنگام وقوع به عنوان هزينه هاي جاري تلقي و به سود و زيان دوره منظور مي گردد.</t>
  </si>
  <si>
    <t>استهلاك دارائيهاي ثابت با توجه به عمرمفيد برآوردي دارائيهاي مربوطه (و با در نظرگرفتن آئین نامه استهلاک موضوع ماده 151 قانون مالیاتهای مستقیم مصوب بهمن ماه 1380) و براساس نرخها و روشهاي زيرمحاسبه می شود:</t>
  </si>
  <si>
    <t>براي دارائيهاي ثابتي كه طي ماه تحصيل و مورد بهره برداري قرار مي گيرد، استهلاک از اول ماه بعد محاسبه و در حسابها منظور می شود. در مواردي كه هر يك از دارائيهاي استهلاك پذير پس از آمادگي جهت بهره برداري به علت تعطيل كار يا علل ديگر براي مدتي مورد استفاده قرارنگيرد، ميزان استهلاك آن براي مدت ياد شده معادل30 درصد نرخ استهلاك منعكس درجدول بالا است.</t>
  </si>
  <si>
    <t xml:space="preserve">مخارج تامين مالي در دوره وقوع به عنوان هزينه شناسائي مي شود به استثناي مخارجي كه مستقيما "قابل انتساب به تحصیل داراييهاي واجد شرايط" است. </t>
  </si>
  <si>
    <t>کلیات</t>
  </si>
  <si>
    <t>1-1-</t>
  </si>
  <si>
    <t>فعاليت اصلي شركت</t>
  </si>
  <si>
    <t>1-2-</t>
  </si>
  <si>
    <t>موجودي مواد و كالا:</t>
  </si>
  <si>
    <t>میلیون ریال</t>
  </si>
  <si>
    <t>میلیون ريال</t>
  </si>
  <si>
    <t>سال 1388</t>
  </si>
  <si>
    <t>مالیات بر درآمد</t>
  </si>
  <si>
    <t>سود سهام</t>
  </si>
  <si>
    <t xml:space="preserve">گردش حساب سود (زيان) انباشته </t>
  </si>
  <si>
    <t>12 درصد</t>
  </si>
  <si>
    <t>مبلغ</t>
  </si>
  <si>
    <t>کالای ساخته شده</t>
  </si>
  <si>
    <t>مواد اولیه</t>
  </si>
  <si>
    <t>پيش پرداخت سرمايه اي</t>
  </si>
  <si>
    <t>حق الامتیاز خدمات عمومی</t>
  </si>
  <si>
    <t>مالیات بر درآمد شرکت برای کلیه سالهای قبل از سال 1387 قطعی و تسویه گردیده است.</t>
  </si>
  <si>
    <t>سال مالی</t>
  </si>
  <si>
    <t>سود (زیان) ابرازی</t>
  </si>
  <si>
    <t>ابرازی</t>
  </si>
  <si>
    <t>تشخیصی</t>
  </si>
  <si>
    <t>قطعی</t>
  </si>
  <si>
    <t>تادیه شده</t>
  </si>
  <si>
    <t>مانده ذخیره</t>
  </si>
  <si>
    <t>مالیات</t>
  </si>
  <si>
    <t>1388- میلیون ریال</t>
  </si>
  <si>
    <t>نحوه تشخیص</t>
  </si>
  <si>
    <t>الف- به تفکیک تامین کنندگان تسهیلات</t>
  </si>
  <si>
    <t>کسر می شود: سود و کارمزد سال آتی</t>
  </si>
  <si>
    <t>ب- به تفکیک نرخ سود و کارمزد</t>
  </si>
  <si>
    <t>18 درصد</t>
  </si>
  <si>
    <t>حسابها واسناد دريافتني تجاری</t>
  </si>
  <si>
    <t>سازمان تامین اجتماعی</t>
  </si>
  <si>
    <t>بهای تمام شده کالای تولید شده</t>
  </si>
  <si>
    <t>حقوق و دستمزد</t>
  </si>
  <si>
    <t>مسکن و خواروبار</t>
  </si>
  <si>
    <t>حق جذب</t>
  </si>
  <si>
    <t>نوبت کاری</t>
  </si>
  <si>
    <t>بیمه سهم کارفرما</t>
  </si>
  <si>
    <t>مزایای پایان خدمت کارکنان</t>
  </si>
  <si>
    <t>ابزار و مواد مصرفی</t>
  </si>
  <si>
    <t>برق مصرفی</t>
  </si>
  <si>
    <t xml:space="preserve">استهلاک </t>
  </si>
  <si>
    <t>10-001</t>
  </si>
  <si>
    <t>10-002</t>
  </si>
  <si>
    <t>10-003</t>
  </si>
  <si>
    <t>10-005</t>
  </si>
  <si>
    <t>10-007</t>
  </si>
  <si>
    <t>10-009</t>
  </si>
  <si>
    <t>10-010</t>
  </si>
  <si>
    <t>20-003</t>
  </si>
  <si>
    <t>20-004</t>
  </si>
  <si>
    <t>تعمیر و نگهداری ماشین آلات</t>
  </si>
  <si>
    <t>20-013/20-014/20-015</t>
  </si>
  <si>
    <t>20-017</t>
  </si>
  <si>
    <t>20-018</t>
  </si>
  <si>
    <t>30-001/30-002/30-003/30-004/30-006</t>
  </si>
  <si>
    <t>10-008/20-007/20-008/20-026/20-029/20-030/20-033</t>
  </si>
  <si>
    <t>هزينه هاي فروش، اداري وعمومي</t>
  </si>
  <si>
    <t>1-001</t>
  </si>
  <si>
    <t>1-002</t>
  </si>
  <si>
    <t>1-006</t>
  </si>
  <si>
    <t>1-009</t>
  </si>
  <si>
    <t>1-010</t>
  </si>
  <si>
    <t>2-002</t>
  </si>
  <si>
    <t>هزینه های مالی بشرح ذیل تفکیک می گردد:</t>
  </si>
  <si>
    <t>سایر درآمد های عملیاتی</t>
  </si>
  <si>
    <t>هزینه بهره</t>
  </si>
  <si>
    <t>کارمزد بانکی، تمبر و سفته</t>
  </si>
  <si>
    <t>تعدیلات سنواتی</t>
  </si>
  <si>
    <t>بدهکار</t>
  </si>
  <si>
    <t>بستانکار</t>
  </si>
  <si>
    <t>(تجدید ارائه شده)</t>
  </si>
  <si>
    <t>موجودی نقد</t>
  </si>
  <si>
    <t>4-</t>
  </si>
  <si>
    <t>بدهیها و حقوق صاحبان سهام</t>
  </si>
  <si>
    <t>تعداد سهام</t>
  </si>
  <si>
    <t>سرمایه</t>
  </si>
  <si>
    <t>2-006/2-008/2-010/2-014/2-015/2-026/2-030/30-004</t>
  </si>
  <si>
    <t>وضعيت اشتغال</t>
  </si>
  <si>
    <t>متوسط کارکنان طی سال مالی جاری و سال مالی گذشته بشرح زیر می باشد:</t>
  </si>
  <si>
    <t>تعداد</t>
  </si>
  <si>
    <t>بخش اداری</t>
  </si>
  <si>
    <t>بخش تولیدی</t>
  </si>
  <si>
    <t>ذخیره مزایای پایان خدمت کارکنان</t>
  </si>
  <si>
    <t>ذخیره مزایای پایان خدمت کارکنان دائم بر اساس یک ماه آخرین حقوق برای هرسال خدمت آنان محاسبه و در حسابها منظور میشود .</t>
  </si>
  <si>
    <t>حسابها واسناد دريافتني تجاري</t>
  </si>
  <si>
    <t>بانک ملت</t>
  </si>
  <si>
    <t xml:space="preserve">فروش خالص </t>
  </si>
  <si>
    <t>بدهیهای غیر جاری :</t>
  </si>
  <si>
    <t>یادداشتهای توضیحی همراه ، جزء لاینفک صورتهای مالی می باشد.</t>
  </si>
  <si>
    <t xml:space="preserve">بهاي تمام شده كالاي فروش رفته </t>
  </si>
  <si>
    <t>فروش خالص</t>
  </si>
  <si>
    <t>بهاي تمام شده -میلیون ريال</t>
  </si>
  <si>
    <t>استهلاك انباشته - میلیون ريال</t>
  </si>
  <si>
    <t>مبلغ دفتري- میلیون ریال</t>
  </si>
  <si>
    <t>بهاي تمام شده كالاي فروش رفته</t>
  </si>
  <si>
    <t>جدول بهاي تمام شده كالاي فروش رفته به شرح زير است:</t>
  </si>
  <si>
    <t>جمع بدهیها</t>
  </si>
  <si>
    <t>موجودي مواد و كالا به اقـل بهاي تمام شده و خالص ارزش فروش گروهها واقلام مشابه ارزشيابي مي شود. درصورت فزوني بهـاي  تمام شده نسبت به خالص ارزش فروش، مابه التفاوت به عنوان ذخيره كاهش ارزش موجودي شناسائي مي شود. بهاي تمام شده موجوديها با بكارگيري روشهاي زير تعيين مي گردد:</t>
  </si>
  <si>
    <t xml:space="preserve">نقل و انتقالات </t>
  </si>
  <si>
    <t>گردش حساب مزبور طی سال به شرح زیر است :</t>
  </si>
  <si>
    <t>ذخیره تامین شده</t>
  </si>
  <si>
    <t>سود انباشته</t>
  </si>
  <si>
    <t>درآمد مشمول مالیات ابرازی</t>
  </si>
  <si>
    <t>پرداخت شده طی سال</t>
  </si>
  <si>
    <t xml:space="preserve">مواداوليه </t>
  </si>
  <si>
    <t>ماشين آلات و تجهیزات</t>
  </si>
  <si>
    <t>3-5-</t>
  </si>
  <si>
    <t>تنخواه گردانها</t>
  </si>
  <si>
    <t>4-1</t>
  </si>
  <si>
    <t xml:space="preserve">سفارشات و پيش پرداختها </t>
  </si>
  <si>
    <t>سفارشات و پيش پرداختها</t>
  </si>
  <si>
    <t>سفارشات خارجی :</t>
  </si>
  <si>
    <t xml:space="preserve">    قطعات و لوازم یدکی</t>
  </si>
  <si>
    <t>پیش پرداختها :</t>
  </si>
  <si>
    <t xml:space="preserve">   بیمه داراییها</t>
  </si>
  <si>
    <t xml:space="preserve">   سایر پیش پرداختها</t>
  </si>
  <si>
    <t>ذخیره هزینه های معوق</t>
  </si>
  <si>
    <t>تسهیلات مالی دریافتی بلند مدت</t>
  </si>
  <si>
    <t>بانک ملی</t>
  </si>
  <si>
    <t>حصه بلند مدت</t>
  </si>
  <si>
    <t>حصه جاری</t>
  </si>
  <si>
    <t>ایاب و ذهاب</t>
  </si>
  <si>
    <t>آبدارخانه و پذیرایی</t>
  </si>
  <si>
    <t>کرایه حمل</t>
  </si>
  <si>
    <t>خواربار و مسکن</t>
  </si>
  <si>
    <t>هزینه بن</t>
  </si>
  <si>
    <t>هزینه ارتباطات</t>
  </si>
  <si>
    <t>هزینه آگهی و تبلیغات</t>
  </si>
  <si>
    <t>جمع بدهیهای غیر جاری</t>
  </si>
  <si>
    <t>پیش پرداخت مالیاتی</t>
  </si>
  <si>
    <t>2</t>
  </si>
  <si>
    <t>3</t>
  </si>
  <si>
    <t>4</t>
  </si>
  <si>
    <t>6 و 7</t>
  </si>
  <si>
    <t>میانگین موزون متحرک</t>
  </si>
  <si>
    <t>میانگین موزون ساده</t>
  </si>
  <si>
    <t>15-1- خلاصه وضعیت تسهیلات مالی دریافتی بشرح زیر است:</t>
  </si>
  <si>
    <t>18-2- فروش به تفکیک مشتریان شرکت بشرح زیر است:</t>
  </si>
  <si>
    <t>19-1</t>
  </si>
  <si>
    <t>19-1- هزينه هاي دستمزدمستقيم وسربار توليدازاقلام زيرتشكيل شده است:</t>
  </si>
  <si>
    <t>8 الی 23</t>
  </si>
  <si>
    <t>امضاء</t>
  </si>
  <si>
    <t>اقلام پولی ارزی با نرخ رسمی ارز در تاریخ ترازنامه و اقلام غیر پولی که به بهای تمام شده تاریخی بر حسب ارز ثبت شده است، با نرخ رسمی ارز در تاریخ انجام معامله، تسعیر می شود. تفاوتهای ناشی از تسویه یا تسعیر اقلام پولی ارزی به عنوان درآمد یا هزینه دوره وقوع شناسایی می شود.</t>
  </si>
  <si>
    <t xml:space="preserve">    مواد اولیه</t>
  </si>
  <si>
    <t>15-2- وثیقه تسهیلات مالی دریافتی فوق اسناد مالکیت کارخانه شرکت و سفته می باشد.</t>
  </si>
  <si>
    <t>18-</t>
  </si>
  <si>
    <t>عضو هیات مدیره</t>
  </si>
  <si>
    <t>موجودی صندوق</t>
  </si>
  <si>
    <t>5-2</t>
  </si>
  <si>
    <t>سایرحسابهای دريافتني</t>
  </si>
  <si>
    <t>سایر حسابهای دریافتنی</t>
  </si>
  <si>
    <t>سایر حسابهای دریافتنی بشرح ذیل تفکیک می گردد:</t>
  </si>
  <si>
    <t>7-1-موجودی کالای ساخته شده در مقابل خطرات ناشی از آتش سوزی به طورکامل تحت پوشش بیمه ای قرار گرفته است و موجودی مواد اولیه تا سقف 10،015 میلیون ریال تحت پوشش بیمه ای قرار گرفته است.</t>
  </si>
  <si>
    <t>8-1</t>
  </si>
  <si>
    <t>8-2</t>
  </si>
  <si>
    <t>وسایل نقلیه</t>
  </si>
  <si>
    <t>9-</t>
  </si>
  <si>
    <t>حسابها و اسناد پرداختنی تجاری</t>
  </si>
  <si>
    <t>کسر می شود : اسناد پرداختنی</t>
  </si>
  <si>
    <t>11-</t>
  </si>
  <si>
    <t>12-1</t>
  </si>
  <si>
    <t>12-1- اسناد پرداختنی غیر تجاری به شرح ذیل تفکیک می گردد:</t>
  </si>
  <si>
    <t>بیمه کارآفرین</t>
  </si>
  <si>
    <t>شرکت نوسا</t>
  </si>
  <si>
    <t>نمایندگی سروش-پخش آگهی</t>
  </si>
  <si>
    <t>دارایی-مالیات تکلیفی</t>
  </si>
  <si>
    <t>جاری کارکنان</t>
  </si>
  <si>
    <t>ضمانتنامه اعتبار ارزی</t>
  </si>
  <si>
    <t>تجمیع عوارض</t>
  </si>
  <si>
    <t xml:space="preserve">   بیمه تکمیل درمان</t>
  </si>
  <si>
    <t>اداره دارایی</t>
  </si>
  <si>
    <t>تامین اجتماعی</t>
  </si>
  <si>
    <t>شرکت بیمه کارآفرین</t>
  </si>
  <si>
    <t>فروشگاه رفاه</t>
  </si>
  <si>
    <t>تعاونی سازمان همیاری شهرداری</t>
  </si>
  <si>
    <t>آقای اصغر جعفری</t>
  </si>
  <si>
    <t>پیش دریافت</t>
  </si>
  <si>
    <t>12</t>
  </si>
  <si>
    <t>13-</t>
  </si>
  <si>
    <t>بانک پارسیان</t>
  </si>
  <si>
    <t>20 درصد</t>
  </si>
  <si>
    <t>24 درصد</t>
  </si>
  <si>
    <t>سرمايه شركت مبلغ 5 ميلیارد ريال منقسم به 5،000 سهم با نام 1،000,000 ریالی به شرح زير مي‌باشد:</t>
  </si>
  <si>
    <r>
      <rPr>
        <sz val="14"/>
        <rFont val="B Mitra"/>
        <charset val="178"/>
      </rPr>
      <t>سرمايه</t>
    </r>
    <r>
      <rPr>
        <sz val="8"/>
        <rFont val="B Mitra"/>
        <charset val="178"/>
      </rPr>
      <t>(5،000 سهم1،000,000ريالي تمام پرداخت شده )</t>
    </r>
  </si>
  <si>
    <t>(افزایش) موجودی کالای ساخته شده</t>
  </si>
  <si>
    <t>گاز مصرفی</t>
  </si>
  <si>
    <t>آب مصرفی</t>
  </si>
  <si>
    <t>سفر و ماموریت</t>
  </si>
  <si>
    <t>کمیسیون فروش</t>
  </si>
  <si>
    <t>کمک و اعانات</t>
  </si>
  <si>
    <t>هزینه فروشگاه تهران</t>
  </si>
  <si>
    <t>تعمیر و نگهداری ساختمان</t>
  </si>
  <si>
    <t>ذخیره مالیات</t>
  </si>
  <si>
    <t>سایر حسابهای پرداختنی</t>
  </si>
  <si>
    <t>سایر درآمدهای عملیاتی</t>
  </si>
  <si>
    <t>تسهیلات دریافتی</t>
  </si>
  <si>
    <t>بیمه آتش سوزی</t>
  </si>
  <si>
    <t>فروش ضایعات</t>
  </si>
  <si>
    <t>23-1- به منظور ارائه تصویری مناسب از وضعیت مالی و نتایج عملیات، برخی از اقلام مقایسه ای مربوط اصلاح و ارائه مجدد شده است. اقلام تجدید ارائه شده بشرح زیر می باشد:</t>
  </si>
  <si>
    <t>طرح چرم</t>
  </si>
  <si>
    <t>مقدار- مترمربع</t>
  </si>
  <si>
    <t>برگشت از فروش و تخفیفات</t>
  </si>
  <si>
    <t>پیش پرداخت</t>
  </si>
  <si>
    <t>9-1- افزایش در ماشین آلات و تجهیزات بابت خرید ماشین آلات بافندگی ، دستگاه روکار ، دستگاه شرینگ و لیفتراک می باشد.</t>
  </si>
  <si>
    <t>9-2- پیش پرداخت سرمایه ای بابت خرید قطعات دستگاه واندویل از ترکیه می باشد.</t>
  </si>
  <si>
    <t>5-1- تا تاریخ تهیه یادداشتها مبلغ 22 میلیارد ریال از مانده حسابهای دریافتنی تجاری وصول شده است.</t>
  </si>
  <si>
    <t>علی الرأس</t>
  </si>
  <si>
    <t xml:space="preserve">(زیان) انباشتـه </t>
  </si>
  <si>
    <t>خالص سایر درآمد های غیر عملیاتی</t>
  </si>
  <si>
    <t>سود (زیان) قبل از مالیات</t>
  </si>
  <si>
    <t>سود (زیان) خالص</t>
  </si>
  <si>
    <t xml:space="preserve">سود (زیان) خالص  </t>
  </si>
  <si>
    <t>(زیان) انباشته در ابتداي سال</t>
  </si>
  <si>
    <t>(زیان) انباشته در ابتدای سال- تعدیل شده</t>
  </si>
  <si>
    <t>(زیان) انباشته در پايان سال</t>
  </si>
  <si>
    <t>از آنجائيكه صورت سود وزيان جامع محدود به سود (زیان) دوره و تعديلات سنواتي ميباشد سود و زيان جامع ارائه نگرديده است .</t>
  </si>
  <si>
    <t>اداره دارایی - مالیات بر ارزش افزوده</t>
  </si>
  <si>
    <t>8-1- اجناس موضوع سفارشات خارجی ، نخ کنف و چسب آهار بوده که تا تاریخ تهیه یادداشتها تماماً دریافت گردیده است.</t>
  </si>
  <si>
    <t>9-3- داراییهای ثابت مشهود تا سقف 58،325 میلیون ریال در مقابل خطرات احتمالی تحت پوشش بیمه ای قرار گرفته است.</t>
  </si>
  <si>
    <t>ذخیره استهلاک نرم افزارها</t>
  </si>
  <si>
    <t>خرید کالای ساخته شده</t>
  </si>
  <si>
    <t>19-1-1- افزایش هزینه های حقوق و دستمزد کارکنان ناشی ازافزایش حقوق و دستمزد به ماخذ بخشنامه های وزارت کار و همچنین افزایش تعداد کارکنان بوده است.</t>
  </si>
  <si>
    <t>هزینه های سال 1387</t>
  </si>
  <si>
    <t>مالیات عملکرد سال 1387</t>
  </si>
  <si>
    <t>بهای تمام شده کالای فروش رفته</t>
  </si>
  <si>
    <t>15-</t>
  </si>
  <si>
    <t>11-1</t>
  </si>
  <si>
    <t>11-2</t>
  </si>
  <si>
    <t>8  درصد</t>
  </si>
  <si>
    <t>نزولی</t>
  </si>
  <si>
    <t>10 و 12 ساله</t>
  </si>
  <si>
    <t>خط مستقیم</t>
  </si>
  <si>
    <t>10 ساله</t>
  </si>
  <si>
    <t>5-2-1- تا تاریخ تهیه یادداشتها مبلغ 8،967 میلیون ریال از مانده اسناد دریافتنی تجاری وصول شده است.</t>
  </si>
  <si>
    <t>5-2- اسناد دريافتني تجاري بشرح ذيل ميباشد :</t>
  </si>
  <si>
    <t>رسیدگی به دفاتر</t>
  </si>
  <si>
    <t>رسیدگی نشده</t>
  </si>
  <si>
    <t>12-1-1- تا تاریخ تهیه یادداشتها مبلغ 1،619 میلیون ریال از مانده اسناد پرداختنی غیرتجاری تسویه شده است.</t>
  </si>
  <si>
    <t>30 درصد</t>
  </si>
  <si>
    <t>به پيوست صورتهاي مالي شرکت شهاب صنعت ایساتیس ( سهامی خاص ) براي سال مالي منتهي به 29 اسفند ماه 1389 تقديم مي‌شود. اجزای تشکیل دهنده صورتهای مالی به قرار زیر است :</t>
  </si>
  <si>
    <r>
      <t xml:space="preserve">صورتهاي مالي براساس </t>
    </r>
    <r>
      <rPr>
        <b/>
        <sz val="14"/>
        <rFont val="B Mitra"/>
        <charset val="178"/>
      </rPr>
      <t>استانداردهاي حسابداري</t>
    </r>
    <r>
      <rPr>
        <sz val="14"/>
        <rFont val="B Mitra"/>
        <charset val="178"/>
      </rPr>
      <t xml:space="preserve"> تهيه شده و در تاريخ 1390/01/20 به تائيد هيئت مديره شرکت رسيده است.</t>
    </r>
  </si>
  <si>
    <t>مهدی لوک زاده</t>
  </si>
  <si>
    <t>مهدی شهابی پور</t>
  </si>
  <si>
    <t>سید حمید حسینی</t>
  </si>
  <si>
    <t>آقای مهدی لوک زاده</t>
  </si>
  <si>
    <t>آقای مهدی لوک زاده (سهامدار)</t>
  </si>
  <si>
    <t>شرکت تابش</t>
  </si>
  <si>
    <t>شرکت تابش-استقراض</t>
  </si>
  <si>
    <t>شرکت گلریس</t>
  </si>
  <si>
    <t xml:space="preserve">   شرکت نخ مهتاب - علی الحساب خرید مواد اولیه</t>
  </si>
  <si>
    <t>شرکت شهاب صنعت ایساتیس در تاریخ 1375/02/12 به صورت شرکت سهامی خاص تاسیس شده و طی شماره 4756 در اداره ثبت شهرستان یزد به ثبت رسیده است. مرکز اصلی شرکت واقع در یزد-خیابان تیمسار فلاحی-ساختمان شهاب می باشد و کارخانه شرکت در شهرک صنعتی یزد واقع است.</t>
  </si>
  <si>
    <t>موضوع فعالیت شرکت طبق ماده 2 اساسنامه عبارتست از خرید یا اجاره زمین و خرید ماشین آلات و مواد اولیه مورد لزوم از داخل و یا خارج از کشور و ایجاد تاسیسات لازم بمنظور تهیه وتولید انواع فرش موکت. بهره برداری از کارخانه شرکت با ظرفیت 600،000 مترمربع موکت در تاریخ 1377/07/01 آغاز گردیده و در 1383/05/29 ظرفیت تولید شرکت به 800،000 مترمربع موکت رسیده است و در 1387/09/04 بر اساس طرح توسعه ظرفیت تولید 250،000 متر مربع افزایش یافته است.</t>
  </si>
  <si>
    <t xml:space="preserve"> 1389/12/29</t>
  </si>
  <si>
    <t>سال 1389</t>
  </si>
  <si>
    <t>4-1- موجودی نقد در تاریخ 1389/12/29شامل وجوه ارزی معادل 17 میلیون ریال نزد بانک ملی است.</t>
  </si>
  <si>
    <t>1389- میلیون ریال</t>
  </si>
  <si>
    <t>خلاصه وضعیت مالیاتی شرکت برای سالهای 1387 الی 1389 به شرح زیر است:</t>
  </si>
  <si>
    <t>آقای مهدی شهابی پور</t>
  </si>
  <si>
    <t>آقای سید حمید حسینی</t>
  </si>
  <si>
    <t>خانم مریم لوک زاده</t>
  </si>
  <si>
    <t>خانم مینا ذوالفقاری</t>
  </si>
  <si>
    <t>خانم الناز حیدری</t>
  </si>
  <si>
    <t>موکت آکرولیک</t>
  </si>
  <si>
    <t>موکت هیت ست</t>
  </si>
  <si>
    <t>موکت شگی</t>
  </si>
  <si>
    <t>موکت طرح برجسته</t>
  </si>
  <si>
    <t>19-1-2- افزایش هزینه استهلاک سال مالی 1389 نسبت به سال مالی قبل ناشی از خرید بالغ بر 15،873 میلیون ریال ماشین آلات تولیدی در اواخر سال 1388 می باشد.</t>
  </si>
  <si>
    <t>20-1- هزینه کمیسیون فروش بابت حق الزحمه منظور شده به حساب آقای عارف منش در رابطه با معرفی اتحادیه کارمندان دولت به شرکت می باشد. (یادداشت 12 )</t>
  </si>
  <si>
    <t>آقای عارف منش-کمیسیون فروش</t>
  </si>
  <si>
    <t>اتحادیه کارمندان دولت</t>
  </si>
  <si>
    <t>هزینه های سال 1388</t>
  </si>
  <si>
    <t>مالیات عملکرد سال 1388</t>
  </si>
  <si>
    <t>تخفیفات خرید سال 1388</t>
  </si>
  <si>
    <t>آقای دریجانی</t>
  </si>
  <si>
    <t>آقای پروایی</t>
  </si>
  <si>
    <t>فروشگاه زارع زاده</t>
  </si>
  <si>
    <t>آقای سیرجانی</t>
  </si>
  <si>
    <t>تعاونی فرهنگیان</t>
  </si>
  <si>
    <t>آقای علی کارآموز</t>
  </si>
  <si>
    <t>شرکت تعاونی کارگران</t>
  </si>
  <si>
    <t xml:space="preserve">تعاونی فرش دستباف </t>
  </si>
  <si>
    <t>آقای سید جلیل حسینی</t>
  </si>
  <si>
    <t>تعاونی فرش دستباف شاهین شهر</t>
  </si>
  <si>
    <t>فروشگاه اطلس پود</t>
  </si>
  <si>
    <t>تعاونی بهداری مهرشهر</t>
  </si>
  <si>
    <t>امور بازنشستگان</t>
  </si>
  <si>
    <t>آقای رامین گلستانی</t>
  </si>
  <si>
    <t>آقای نیکو پرور</t>
  </si>
  <si>
    <t>آقای حامد راستین</t>
  </si>
  <si>
    <t>تعاونی فیضیه</t>
  </si>
  <si>
    <t>تعاونی خاتم الانبیاء</t>
  </si>
  <si>
    <t>تعاونی صنایع فولاد</t>
  </si>
  <si>
    <t>آقای فرهادی</t>
  </si>
  <si>
    <t>آقای حکیمان</t>
  </si>
  <si>
    <t>تعاونی چادرملو</t>
  </si>
  <si>
    <t>تعاونی بانک ایرانیان</t>
  </si>
  <si>
    <t>مجتمع تجاری حاج جعفری</t>
  </si>
  <si>
    <t>آقای روح نواز</t>
  </si>
  <si>
    <t>تعاونی فرهنگیان شیراز</t>
  </si>
  <si>
    <t>تعاونی کارمندان میبد</t>
  </si>
  <si>
    <t>آقای مهدی پور</t>
  </si>
  <si>
    <t>تعاونی نساجی</t>
  </si>
  <si>
    <t>فروشگاه کبیری</t>
  </si>
  <si>
    <t>آقای رمضانیان</t>
  </si>
  <si>
    <t>شرکت تعاونی بشارت</t>
  </si>
  <si>
    <t>آقای حمید بحرالعلومی</t>
  </si>
  <si>
    <t>آقای کارآموز</t>
  </si>
  <si>
    <t>فروشگاه اطلس</t>
  </si>
  <si>
    <t>آقای صالحی</t>
  </si>
  <si>
    <t>تعاونی فرهنگیان مهردشت</t>
  </si>
  <si>
    <t>تعاونی امام جعفر صادق</t>
  </si>
  <si>
    <t>آقای شهدوست</t>
  </si>
  <si>
    <t>آقای جعفری</t>
  </si>
  <si>
    <t>آقای نقدیان</t>
  </si>
  <si>
    <t>اداره برق</t>
  </si>
  <si>
    <t>شرکت نگین</t>
  </si>
  <si>
    <t>کانون پرورش فکری کودکان</t>
  </si>
  <si>
    <t>8-2- مبلغ فوق در رابطه با علی الحساب خرید نخ از شرکت نخ مهتاب می باشد که در این رابطه تا تاریخ تهیه یادداشتها مبلغ 3،411 میلیون ریال کالا دریافت گردیده است.</t>
  </si>
  <si>
    <t>اسناد پرداختنی- چرم کازرون</t>
  </si>
  <si>
    <t>اعتبار شماره 89701324 - خرید مواد اولیه</t>
  </si>
  <si>
    <t>شرکت چسب زرین</t>
  </si>
  <si>
    <t>11-1- مانده طلب شرکت تابش بابت خرید مواد اولیه (نخ) میباشد که مبلغ 2،260 میلیون ریال از آن تا تاریخ تهیه یادداشتها تسویه گردیده است.</t>
  </si>
  <si>
    <t>11-2- مانده بدهی در رابطه با اعتبار شماره 89701324 تا تاریخ تهیه یادداشتها به طور کامل تسویه شده است.</t>
  </si>
  <si>
    <t>آقای میرفخرالدین-وجه قرضی</t>
  </si>
  <si>
    <t>بازرگانی قادری-ترخیص کالا</t>
  </si>
  <si>
    <t>شرکت لیفتراک اراک</t>
  </si>
  <si>
    <t>آقای محمد صادق حیدری</t>
  </si>
  <si>
    <t>آقای جعفری - فرش هخامنش</t>
  </si>
  <si>
    <t>آقای اعتمادی فر</t>
  </si>
  <si>
    <t>موسسه خیریه عاشورا</t>
  </si>
  <si>
    <t>تعاونی فرش دستباف</t>
  </si>
  <si>
    <t>تعاونی کارگران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</si>
</sst>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_-;\(#,##0\)"/>
    <numFmt numFmtId="165" formatCode="_-* #,##0_-;_-* #,##0\-;_-* &quot;-&quot;??_-;_-@_-"/>
    <numFmt numFmtId="166" formatCode="0.000"/>
    <numFmt numFmtId="167" formatCode="#,##0;\(#,##0\)"/>
    <numFmt numFmtId="168" formatCode="#,##0_-;[Red]\(#,###\)"/>
    <numFmt numFmtId="169" formatCode="0;[Red]0"/>
    <numFmt numFmtId="170" formatCode="#,###\-"/>
    <numFmt numFmtId="171" formatCode="#,###\ \ \ \-"/>
    <numFmt numFmtId="172" formatCode="#,###\-\ \ \ "/>
  </numFmts>
  <fonts count="20" x14ac:knownFonts="1">
    <font>
      <sz val="10"/>
      <name val="Arial"/>
      <charset val="178"/>
    </font>
    <font>
      <sz val="10"/>
      <name val="Arial"/>
      <family val="2"/>
    </font>
    <font>
      <sz val="8"/>
      <name val="Arial"/>
      <family val="2"/>
    </font>
    <font>
      <b/>
      <sz val="12"/>
      <name val="B Mitra"/>
      <charset val="178"/>
    </font>
    <font>
      <b/>
      <sz val="13"/>
      <name val="B Mitra"/>
      <charset val="178"/>
    </font>
    <font>
      <b/>
      <sz val="14"/>
      <name val="B Mitra"/>
      <charset val="178"/>
    </font>
    <font>
      <sz val="11"/>
      <name val="B Mitra"/>
      <charset val="178"/>
    </font>
    <font>
      <b/>
      <sz val="11"/>
      <name val="B Mitra"/>
      <charset val="178"/>
    </font>
    <font>
      <sz val="11"/>
      <color indexed="8"/>
      <name val="B Mitra"/>
      <charset val="178"/>
    </font>
    <font>
      <sz val="11"/>
      <color indexed="12"/>
      <name val="B Mitra"/>
      <charset val="178"/>
    </font>
    <font>
      <sz val="14"/>
      <name val="B Mitra"/>
      <charset val="178"/>
    </font>
    <font>
      <sz val="14"/>
      <color indexed="8"/>
      <name val="B Mitra"/>
      <charset val="178"/>
    </font>
    <font>
      <sz val="13"/>
      <name val="B Mitra"/>
      <charset val="178"/>
    </font>
    <font>
      <sz val="12"/>
      <name val="B Mitra"/>
      <charset val="178"/>
    </font>
    <font>
      <sz val="9"/>
      <color indexed="81"/>
      <name val="Tahoma"/>
      <family val="2"/>
    </font>
    <font>
      <b/>
      <sz val="9"/>
      <color indexed="81"/>
      <name val="Tahoma"/>
      <family val="2"/>
    </font>
    <font>
      <sz val="13.5"/>
      <name val="B Mitra"/>
      <charset val="178"/>
    </font>
    <font>
      <sz val="14"/>
      <color indexed="8"/>
      <name val="B Nazanin"/>
      <charset val="178"/>
    </font>
    <font>
      <sz val="16"/>
      <name val="B Mitra"/>
      <charset val="178"/>
    </font>
    <font>
      <sz val="8"/>
      <name val="B Mitra"/>
      <charset val="178"/>
    </font>
  </fonts>
  <fills count="3">
    <fill>
      <patternFill patternType="none"/>
    </fill>
    <fill>
      <patternFill patternType="gray125"/>
    </fill>
    <fill>
      <patternFill patternType="lightDown"/>
    </fill>
  </fills>
  <borders count="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14">
    <xf numFmtId="0" fontId="0" fillId="0" borderId="0" xfId="0"/>
    <xf numFmtId="0" fontId="3" fillId="0" borderId="0" xfId="0" applyFont="1" applyAlignment="1">
      <alignment vertical="center" readingOrder="2"/>
    </xf>
    <xf numFmtId="0" fontId="4" fillId="0" borderId="0" xfId="0" applyFont="1" applyAlignment="1">
      <alignment vertical="center" readingOrder="2"/>
    </xf>
    <xf numFmtId="0" fontId="5" fillId="0" borderId="0" xfId="0" applyFont="1" applyAlignment="1">
      <alignment vertical="center" readingOrder="2"/>
    </xf>
    <xf numFmtId="0" fontId="3" fillId="0" borderId="0" xfId="0" applyFont="1" applyAlignment="1">
      <alignment horizontal="right" vertical="center" readingOrder="2"/>
    </xf>
    <xf numFmtId="0" fontId="6" fillId="0" borderId="0" xfId="0" applyFont="1" applyAlignment="1">
      <alignment vertical="center" readingOrder="2"/>
    </xf>
    <xf numFmtId="0" fontId="6" fillId="0" borderId="0" xfId="0" applyFont="1" applyAlignment="1">
      <alignment horizontal="center" vertical="center" readingOrder="2"/>
    </xf>
    <xf numFmtId="3" fontId="6" fillId="0" borderId="0" xfId="0" applyNumberFormat="1" applyFont="1" applyAlignment="1">
      <alignment horizontal="center" vertical="center" readingOrder="2"/>
    </xf>
    <xf numFmtId="3" fontId="6" fillId="0" borderId="0" xfId="0" applyNumberFormat="1" applyFont="1" applyBorder="1" applyAlignment="1">
      <alignment horizontal="center" vertical="center" readingOrder="2"/>
    </xf>
    <xf numFmtId="0" fontId="6" fillId="0" borderId="0" xfId="0" applyFont="1" applyBorder="1" applyAlignment="1">
      <alignment vertical="center" readingOrder="2"/>
    </xf>
    <xf numFmtId="0" fontId="6" fillId="0" borderId="0" xfId="0" applyFont="1" applyBorder="1" applyAlignment="1">
      <alignment horizontal="center" vertical="center" readingOrder="2"/>
    </xf>
    <xf numFmtId="0" fontId="6" fillId="0" borderId="0" xfId="0" applyFont="1" applyBorder="1" applyAlignment="1">
      <alignment horizontal="right" vertical="justify" wrapText="1" shrinkToFit="1" readingOrder="2"/>
    </xf>
    <xf numFmtId="3" fontId="6" fillId="0" borderId="0" xfId="0" applyNumberFormat="1" applyFont="1" applyAlignment="1">
      <alignment vertical="center" readingOrder="2"/>
    </xf>
    <xf numFmtId="0" fontId="7" fillId="0" borderId="0"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right" readingOrder="2"/>
    </xf>
    <xf numFmtId="0" fontId="10" fillId="0" borderId="0" xfId="0" applyFont="1" applyAlignment="1">
      <alignment vertical="center" readingOrder="2"/>
    </xf>
    <xf numFmtId="0" fontId="10" fillId="0" borderId="0" xfId="0" applyFont="1" applyAlignment="1">
      <alignment horizontal="right" vertical="center" readingOrder="2"/>
    </xf>
    <xf numFmtId="0" fontId="10" fillId="0" borderId="1" xfId="0" applyFont="1" applyBorder="1" applyAlignment="1">
      <alignment horizontal="center" vertical="center" readingOrder="2"/>
    </xf>
    <xf numFmtId="0" fontId="10" fillId="0" borderId="0" xfId="0" applyFont="1" applyAlignment="1">
      <alignment horizontal="right" vertical="center" indent="2" readingOrder="2"/>
    </xf>
    <xf numFmtId="0" fontId="10" fillId="0" borderId="0" xfId="0" applyFont="1" applyAlignment="1">
      <alignment horizontal="right" vertical="center" indent="4" readingOrder="2"/>
    </xf>
    <xf numFmtId="0" fontId="10" fillId="0" borderId="0" xfId="0" applyFont="1" applyBorder="1" applyAlignment="1">
      <alignment horizontal="center" vertical="center" readingOrder="2"/>
    </xf>
    <xf numFmtId="0" fontId="6" fillId="0" borderId="0" xfId="0" applyFont="1" applyBorder="1" applyAlignment="1">
      <alignment horizontal="center" vertical="center" wrapText="1" readingOrder="2"/>
    </xf>
    <xf numFmtId="0" fontId="10" fillId="0" borderId="0" xfId="0" applyFont="1" applyBorder="1" applyAlignment="1">
      <alignment horizontal="right" vertical="center" readingOrder="2"/>
    </xf>
    <xf numFmtId="0" fontId="10" fillId="0" borderId="0" xfId="0" applyFont="1" applyBorder="1" applyAlignment="1">
      <alignment vertical="center" readingOrder="2"/>
    </xf>
    <xf numFmtId="49" fontId="5" fillId="0" borderId="0" xfId="0" applyNumberFormat="1" applyFont="1" applyBorder="1" applyAlignment="1">
      <alignment horizontal="left" readingOrder="2"/>
    </xf>
    <xf numFmtId="165" fontId="6" fillId="0" borderId="0" xfId="1" applyNumberFormat="1" applyFont="1" applyAlignment="1">
      <alignment vertical="center" readingOrder="2"/>
    </xf>
    <xf numFmtId="0" fontId="10" fillId="0" borderId="0" xfId="0" applyFont="1" applyBorder="1" applyAlignment="1">
      <alignment horizontal="center" readingOrder="2"/>
    </xf>
    <xf numFmtId="49" fontId="5" fillId="0" borderId="0" xfId="0" applyNumberFormat="1" applyFont="1" applyBorder="1" applyAlignment="1">
      <alignment horizontal="left" vertical="center" readingOrder="2"/>
    </xf>
    <xf numFmtId="0" fontId="10" fillId="0" borderId="0" xfId="0" applyFont="1" applyBorder="1" applyAlignment="1">
      <alignment readingOrder="2"/>
    </xf>
    <xf numFmtId="49" fontId="10" fillId="0" borderId="0" xfId="0" applyNumberFormat="1" applyFont="1" applyBorder="1" applyAlignment="1">
      <alignment horizontal="left" readingOrder="2"/>
    </xf>
    <xf numFmtId="0" fontId="10" fillId="0" borderId="0" xfId="0" applyFont="1" applyBorder="1" applyAlignment="1">
      <alignment horizontal="right" readingOrder="2"/>
    </xf>
    <xf numFmtId="3" fontId="10" fillId="0" borderId="0" xfId="0" applyNumberFormat="1" applyFont="1" applyBorder="1" applyAlignment="1">
      <alignment horizontal="center" readingOrder="2"/>
    </xf>
    <xf numFmtId="0" fontId="10" fillId="0" borderId="0" xfId="0" applyFont="1" applyBorder="1" applyAlignment="1">
      <alignment horizontal="right" wrapText="1" shrinkToFit="1" readingOrder="2"/>
    </xf>
    <xf numFmtId="164" fontId="10" fillId="0" borderId="0" xfId="0" applyNumberFormat="1" applyFont="1" applyBorder="1" applyAlignment="1">
      <alignment horizontal="center" readingOrder="2"/>
    </xf>
    <xf numFmtId="0" fontId="10" fillId="0" borderId="1" xfId="0" applyFont="1" applyBorder="1" applyAlignment="1">
      <alignment horizontal="center" readingOrder="2"/>
    </xf>
    <xf numFmtId="0" fontId="10" fillId="0" borderId="0" xfId="0" applyFont="1" applyFill="1" applyAlignment="1">
      <alignment vertical="center" readingOrder="2"/>
    </xf>
    <xf numFmtId="0" fontId="10" fillId="0" borderId="0" xfId="0" applyFont="1" applyFill="1" applyAlignment="1">
      <alignment horizontal="right" vertical="center" readingOrder="2"/>
    </xf>
    <xf numFmtId="3" fontId="10" fillId="0" borderId="0" xfId="0" applyNumberFormat="1" applyFont="1" applyFill="1" applyBorder="1" applyAlignment="1">
      <alignment horizontal="center" vertical="center" readingOrder="2"/>
    </xf>
    <xf numFmtId="0" fontId="10" fillId="0" borderId="0" xfId="0" applyFont="1" applyFill="1" applyBorder="1" applyAlignment="1">
      <alignment vertical="center" readingOrder="2"/>
    </xf>
    <xf numFmtId="3" fontId="10" fillId="0" borderId="2" xfId="0" applyNumberFormat="1" applyFont="1" applyFill="1" applyBorder="1" applyAlignment="1">
      <alignment horizontal="right" vertical="center" readingOrder="2"/>
    </xf>
    <xf numFmtId="0" fontId="10" fillId="0" borderId="0" xfId="0" applyFont="1" applyAlignment="1">
      <alignment horizontal="center" vertical="center" readingOrder="2"/>
    </xf>
    <xf numFmtId="49" fontId="5" fillId="0" borderId="0" xfId="0" applyNumberFormat="1" applyFont="1" applyBorder="1" applyAlignment="1">
      <alignment vertical="center" readingOrder="2"/>
    </xf>
    <xf numFmtId="3" fontId="10" fillId="0" borderId="0" xfId="0" applyNumberFormat="1" applyFont="1" applyBorder="1" applyAlignment="1">
      <alignment horizontal="center" vertical="center" readingOrder="2"/>
    </xf>
    <xf numFmtId="0" fontId="5" fillId="0" borderId="0" xfId="0" applyFont="1" applyBorder="1" applyAlignment="1">
      <alignment horizontal="left" vertical="center" readingOrder="2"/>
    </xf>
    <xf numFmtId="3" fontId="10" fillId="0" borderId="0" xfId="0" applyNumberFormat="1" applyFont="1" applyBorder="1" applyAlignment="1">
      <alignment horizontal="right" vertical="center" readingOrder="2"/>
    </xf>
    <xf numFmtId="3" fontId="10" fillId="0" borderId="2" xfId="0" applyNumberFormat="1" applyFont="1" applyBorder="1" applyAlignment="1">
      <alignment horizontal="right" vertical="center" readingOrder="2"/>
    </xf>
    <xf numFmtId="3" fontId="10" fillId="0" borderId="0" xfId="0" applyNumberFormat="1" applyFont="1" applyAlignment="1">
      <alignment vertical="center" readingOrder="2"/>
    </xf>
    <xf numFmtId="164" fontId="10" fillId="0" borderId="0" xfId="0" applyNumberFormat="1" applyFont="1" applyBorder="1" applyAlignment="1">
      <alignment vertical="center" readingOrder="2"/>
    </xf>
    <xf numFmtId="49" fontId="5" fillId="0" borderId="0" xfId="0" applyNumberFormat="1" applyFont="1" applyFill="1" applyBorder="1" applyAlignment="1">
      <alignment horizontal="left" vertical="center" readingOrder="2"/>
    </xf>
    <xf numFmtId="0" fontId="10" fillId="0" borderId="0" xfId="0" applyFont="1" applyFill="1" applyBorder="1" applyAlignment="1">
      <alignment horizontal="right" vertical="center" readingOrder="2"/>
    </xf>
    <xf numFmtId="165" fontId="10" fillId="0" borderId="0" xfId="1" applyNumberFormat="1" applyFont="1" applyFill="1" applyBorder="1" applyAlignment="1">
      <alignment vertical="center" readingOrder="2"/>
    </xf>
    <xf numFmtId="0" fontId="10" fillId="0" borderId="0" xfId="0" applyFont="1" applyFill="1" applyBorder="1" applyAlignment="1">
      <alignment horizontal="center" vertical="center" readingOrder="2"/>
    </xf>
    <xf numFmtId="3" fontId="10" fillId="0" borderId="0" xfId="0" applyNumberFormat="1" applyFont="1" applyFill="1" applyBorder="1" applyAlignment="1">
      <alignment vertical="center" readingOrder="2"/>
    </xf>
    <xf numFmtId="0" fontId="5" fillId="0" borderId="0" xfId="0" applyFont="1" applyBorder="1" applyAlignment="1">
      <alignment vertical="center" wrapText="1" readingOrder="2"/>
    </xf>
    <xf numFmtId="0" fontId="5" fillId="0" borderId="1" xfId="0" applyFont="1" applyBorder="1" applyAlignment="1">
      <alignment horizontal="center" vertical="center" wrapText="1" readingOrder="2"/>
    </xf>
    <xf numFmtId="0" fontId="5" fillId="0" borderId="0" xfId="0" applyFont="1" applyBorder="1" applyAlignment="1">
      <alignment horizontal="center" vertical="center" wrapText="1" readingOrder="2"/>
    </xf>
    <xf numFmtId="0" fontId="5" fillId="0" borderId="4" xfId="0" applyFont="1" applyBorder="1" applyAlignment="1">
      <alignment horizontal="center" vertical="center" wrapText="1" readingOrder="2"/>
    </xf>
    <xf numFmtId="3" fontId="10" fillId="0" borderId="1" xfId="0" applyNumberFormat="1" applyFont="1" applyBorder="1" applyAlignment="1">
      <alignment horizontal="right" vertical="center" readingOrder="2"/>
    </xf>
    <xf numFmtId="167" fontId="10" fillId="0" borderId="0" xfId="0" applyNumberFormat="1" applyFont="1" applyBorder="1" applyAlignment="1">
      <alignment horizontal="right" vertical="center" readingOrder="2"/>
    </xf>
    <xf numFmtId="3" fontId="10" fillId="2" borderId="0" xfId="0" applyNumberFormat="1" applyFont="1" applyFill="1" applyBorder="1" applyAlignment="1">
      <alignment horizontal="right" vertical="center" readingOrder="2"/>
    </xf>
    <xf numFmtId="0" fontId="5" fillId="0" borderId="0" xfId="0" applyFont="1" applyFill="1" applyBorder="1" applyAlignment="1">
      <alignment horizontal="left" vertical="center" readingOrder="2"/>
    </xf>
    <xf numFmtId="0" fontId="5" fillId="0" borderId="0" xfId="0" applyFont="1" applyFill="1" applyBorder="1" applyAlignment="1">
      <alignment horizontal="right" vertical="center" readingOrder="2"/>
    </xf>
    <xf numFmtId="3" fontId="10" fillId="0" borderId="0" xfId="0" applyNumberFormat="1" applyFont="1" applyFill="1" applyAlignment="1">
      <alignment vertical="center" readingOrder="2"/>
    </xf>
    <xf numFmtId="3" fontId="10" fillId="0" borderId="0" xfId="0" applyNumberFormat="1" applyFont="1" applyBorder="1" applyAlignment="1">
      <alignment vertical="center" readingOrder="2"/>
    </xf>
    <xf numFmtId="1" fontId="10" fillId="0" borderId="2" xfId="0" applyNumberFormat="1" applyFont="1" applyBorder="1" applyAlignment="1">
      <alignment vertical="center" readingOrder="2"/>
    </xf>
    <xf numFmtId="0" fontId="5" fillId="0" borderId="0" xfId="0" applyFont="1" applyBorder="1" applyAlignment="1">
      <alignment horizontal="right" vertical="center" readingOrder="2"/>
    </xf>
    <xf numFmtId="3" fontId="10" fillId="0" borderId="2" xfId="0" applyNumberFormat="1" applyFont="1" applyBorder="1" applyAlignment="1">
      <alignment horizontal="center" vertical="center" readingOrder="2"/>
    </xf>
    <xf numFmtId="167" fontId="10" fillId="0" borderId="0" xfId="0" applyNumberFormat="1" applyFont="1" applyAlignment="1">
      <alignment vertical="center" wrapText="1" shrinkToFit="1" readingOrder="2"/>
    </xf>
    <xf numFmtId="168" fontId="5" fillId="0" borderId="0" xfId="0" applyNumberFormat="1" applyFont="1" applyBorder="1" applyAlignment="1">
      <alignment horizontal="left" vertical="center" readingOrder="2"/>
    </xf>
    <xf numFmtId="168" fontId="5" fillId="0" borderId="0" xfId="0" applyNumberFormat="1" applyFont="1" applyBorder="1" applyAlignment="1">
      <alignment horizontal="right" vertical="center" readingOrder="2"/>
    </xf>
    <xf numFmtId="168" fontId="5" fillId="0" borderId="0" xfId="0" applyNumberFormat="1" applyFont="1" applyAlignment="1">
      <alignment vertical="center" readingOrder="2"/>
    </xf>
    <xf numFmtId="168" fontId="5" fillId="0" borderId="0" xfId="0" applyNumberFormat="1" applyFont="1" applyBorder="1" applyAlignment="1">
      <alignment horizontal="center" vertical="center" readingOrder="2"/>
    </xf>
    <xf numFmtId="168" fontId="5" fillId="0" borderId="0" xfId="0" applyNumberFormat="1" applyFont="1" applyBorder="1" applyAlignment="1">
      <alignment vertical="center" readingOrder="2"/>
    </xf>
    <xf numFmtId="168" fontId="10" fillId="0" borderId="0" xfId="0" applyNumberFormat="1" applyFont="1" applyBorder="1" applyAlignment="1">
      <alignment horizontal="right" vertical="center" readingOrder="2"/>
    </xf>
    <xf numFmtId="168" fontId="10" fillId="0" borderId="0" xfId="0" applyNumberFormat="1" applyFont="1" applyBorder="1" applyAlignment="1">
      <alignment horizontal="center" vertical="center" readingOrder="2"/>
    </xf>
    <xf numFmtId="168" fontId="10" fillId="0" borderId="0" xfId="0" applyNumberFormat="1" applyFont="1" applyAlignment="1">
      <alignment vertical="center" readingOrder="2"/>
    </xf>
    <xf numFmtId="168" fontId="10" fillId="0" borderId="0" xfId="0" applyNumberFormat="1" applyFont="1" applyBorder="1" applyAlignment="1">
      <alignment vertical="center" readingOrder="2"/>
    </xf>
    <xf numFmtId="168" fontId="10" fillId="0" borderId="0" xfId="0" applyNumberFormat="1" applyFont="1" applyAlignment="1">
      <alignment horizontal="center" readingOrder="2"/>
    </xf>
    <xf numFmtId="168" fontId="10" fillId="0" borderId="0" xfId="0" applyNumberFormat="1" applyFont="1" applyAlignment="1">
      <alignment horizontal="right" vertical="center" readingOrder="2"/>
    </xf>
    <xf numFmtId="168" fontId="10" fillId="0" borderId="1" xfId="0" applyNumberFormat="1" applyFont="1" applyBorder="1" applyAlignment="1">
      <alignment horizontal="right" vertical="center" readingOrder="2"/>
    </xf>
    <xf numFmtId="168" fontId="10" fillId="0" borderId="2" xfId="0" applyNumberFormat="1" applyFont="1" applyBorder="1" applyAlignment="1">
      <alignment horizontal="right" vertical="center" readingOrder="2"/>
    </xf>
    <xf numFmtId="169" fontId="10" fillId="0" borderId="1" xfId="0" applyNumberFormat="1" applyFont="1" applyBorder="1" applyAlignment="1">
      <alignment horizontal="center" vertical="center" readingOrder="2"/>
    </xf>
    <xf numFmtId="169" fontId="10" fillId="0" borderId="0" xfId="0" applyNumberFormat="1" applyFont="1" applyBorder="1" applyAlignment="1">
      <alignment horizontal="center" vertical="center" readingOrder="2"/>
    </xf>
    <xf numFmtId="1" fontId="10" fillId="0" borderId="0" xfId="0" applyNumberFormat="1" applyFont="1" applyBorder="1" applyAlignment="1">
      <alignment horizontal="center" vertical="center" readingOrder="2"/>
    </xf>
    <xf numFmtId="166" fontId="10" fillId="0" borderId="0" xfId="0" applyNumberFormat="1" applyFont="1" applyBorder="1" applyAlignment="1">
      <alignment horizontal="center" vertical="center" readingOrder="2"/>
    </xf>
    <xf numFmtId="0" fontId="10" fillId="0" borderId="0" xfId="0" applyFont="1" applyAlignment="1">
      <alignment vertical="justify" readingOrder="2"/>
    </xf>
    <xf numFmtId="0" fontId="10" fillId="0" borderId="0" xfId="0" applyFont="1" applyBorder="1" applyAlignment="1">
      <alignment vertical="justify" readingOrder="2"/>
    </xf>
    <xf numFmtId="0" fontId="10" fillId="0" borderId="0" xfId="0" applyFont="1"/>
    <xf numFmtId="168" fontId="5" fillId="0" borderId="1" xfId="0" applyNumberFormat="1" applyFont="1" applyFill="1" applyBorder="1" applyAlignment="1">
      <alignment horizontal="right" readingOrder="2"/>
    </xf>
    <xf numFmtId="168" fontId="5" fillId="0" borderId="0" xfId="0" applyNumberFormat="1" applyFont="1" applyFill="1" applyAlignment="1">
      <alignment horizontal="center" vertical="center" readingOrder="2"/>
    </xf>
    <xf numFmtId="168" fontId="10" fillId="0" borderId="1" xfId="0" applyNumberFormat="1" applyFont="1" applyFill="1" applyBorder="1" applyAlignment="1">
      <alignment horizontal="right" readingOrder="2"/>
    </xf>
    <xf numFmtId="168" fontId="5" fillId="0" borderId="1" xfId="0" applyNumberFormat="1" applyFont="1" applyFill="1" applyBorder="1" applyAlignment="1">
      <alignment horizontal="center" vertical="center" readingOrder="2"/>
    </xf>
    <xf numFmtId="168" fontId="5" fillId="0" borderId="1" xfId="0" applyNumberFormat="1" applyFont="1" applyFill="1" applyBorder="1" applyAlignment="1">
      <alignment horizontal="center" readingOrder="2"/>
    </xf>
    <xf numFmtId="168" fontId="5" fillId="0" borderId="0" xfId="0" applyNumberFormat="1" applyFont="1" applyFill="1" applyBorder="1" applyAlignment="1">
      <alignment horizontal="center" vertical="center" readingOrder="2"/>
    </xf>
    <xf numFmtId="168" fontId="6" fillId="0" borderId="0" xfId="0" applyNumberFormat="1" applyFont="1" applyFill="1" applyAlignment="1">
      <alignment vertical="center" readingOrder="2"/>
    </xf>
    <xf numFmtId="168" fontId="5" fillId="0" borderId="0" xfId="0" applyNumberFormat="1" applyFont="1" applyFill="1" applyAlignment="1">
      <alignment horizontal="right" readingOrder="2"/>
    </xf>
    <xf numFmtId="168" fontId="10" fillId="0" borderId="0" xfId="0" applyNumberFormat="1" applyFont="1" applyFill="1" applyAlignment="1">
      <alignment readingOrder="2"/>
    </xf>
    <xf numFmtId="168" fontId="10" fillId="0" borderId="0" xfId="0" applyNumberFormat="1" applyFont="1" applyFill="1" applyAlignment="1">
      <alignment horizontal="center" readingOrder="2"/>
    </xf>
    <xf numFmtId="168" fontId="10" fillId="0" borderId="3" xfId="0" applyNumberFormat="1" applyFont="1" applyFill="1" applyBorder="1" applyAlignment="1">
      <alignment horizontal="center" vertical="center" readingOrder="2"/>
    </xf>
    <xf numFmtId="168" fontId="10" fillId="0" borderId="0" xfId="0" applyNumberFormat="1" applyFont="1" applyFill="1" applyAlignment="1">
      <alignment horizontal="center" vertical="center" readingOrder="2"/>
    </xf>
    <xf numFmtId="168" fontId="6" fillId="0" borderId="0" xfId="0" applyNumberFormat="1" applyFont="1" applyFill="1" applyAlignment="1">
      <alignment readingOrder="2"/>
    </xf>
    <xf numFmtId="168" fontId="10" fillId="0" borderId="0" xfId="0" applyNumberFormat="1" applyFont="1" applyFill="1" applyAlignment="1">
      <alignment horizontal="right" readingOrder="2"/>
    </xf>
    <xf numFmtId="168" fontId="10" fillId="0" borderId="0" xfId="0" applyNumberFormat="1" applyFont="1" applyFill="1" applyAlignment="1">
      <alignment horizontal="right" vertical="center" readingOrder="2"/>
    </xf>
    <xf numFmtId="168" fontId="10" fillId="0" borderId="0" xfId="0" applyNumberFormat="1" applyFont="1" applyFill="1" applyAlignment="1">
      <alignment vertical="center" readingOrder="2"/>
    </xf>
    <xf numFmtId="168" fontId="10" fillId="0" borderId="0" xfId="0" quotePrefix="1" applyNumberFormat="1" applyFont="1" applyFill="1" applyAlignment="1">
      <alignment horizontal="right" vertical="center" readingOrder="2"/>
    </xf>
    <xf numFmtId="168" fontId="10" fillId="0" borderId="0" xfId="0" applyNumberFormat="1" applyFont="1" applyFill="1" applyBorder="1" applyAlignment="1">
      <alignment horizontal="right" vertical="center" readingOrder="2"/>
    </xf>
    <xf numFmtId="168" fontId="10" fillId="0" borderId="0" xfId="0" applyNumberFormat="1" applyFont="1" applyFill="1" applyBorder="1" applyAlignment="1">
      <alignment horizontal="center" vertical="center" readingOrder="2"/>
    </xf>
    <xf numFmtId="168" fontId="10" fillId="0" borderId="4" xfId="0" applyNumberFormat="1" applyFont="1" applyFill="1" applyBorder="1" applyAlignment="1">
      <alignment horizontal="right" vertical="center" readingOrder="2"/>
    </xf>
    <xf numFmtId="168" fontId="10" fillId="0" borderId="0" xfId="0" applyNumberFormat="1" applyFont="1" applyFill="1" applyBorder="1" applyAlignment="1">
      <alignment vertical="center" readingOrder="2"/>
    </xf>
    <xf numFmtId="168" fontId="11" fillId="0" borderId="0" xfId="0" applyNumberFormat="1" applyFont="1" applyFill="1" applyAlignment="1">
      <alignment horizontal="center" vertical="center" readingOrder="2"/>
    </xf>
    <xf numFmtId="168" fontId="11" fillId="0" borderId="0" xfId="0" applyNumberFormat="1" applyFont="1" applyFill="1" applyAlignment="1">
      <alignment vertical="center" readingOrder="2"/>
    </xf>
    <xf numFmtId="168" fontId="10" fillId="0" borderId="1" xfId="0" applyNumberFormat="1" applyFont="1" applyFill="1" applyBorder="1" applyAlignment="1">
      <alignment horizontal="right" vertical="center" readingOrder="2"/>
    </xf>
    <xf numFmtId="168" fontId="11" fillId="0" borderId="0" xfId="0" applyNumberFormat="1" applyFont="1" applyFill="1" applyAlignment="1">
      <alignment readingOrder="2"/>
    </xf>
    <xf numFmtId="168" fontId="10" fillId="0" borderId="2" xfId="0" applyNumberFormat="1" applyFont="1" applyFill="1" applyBorder="1" applyAlignment="1">
      <alignment horizontal="right" vertical="center" readingOrder="2"/>
    </xf>
    <xf numFmtId="168" fontId="10" fillId="0" borderId="0" xfId="0" applyNumberFormat="1" applyFont="1" applyFill="1" applyBorder="1" applyAlignment="1">
      <alignment horizontal="right" readingOrder="2"/>
    </xf>
    <xf numFmtId="168" fontId="10" fillId="0" borderId="0" xfId="0" applyNumberFormat="1" applyFont="1" applyFill="1" applyBorder="1" applyAlignment="1">
      <alignment readingOrder="2"/>
    </xf>
    <xf numFmtId="168" fontId="6" fillId="0" borderId="0" xfId="0" applyNumberFormat="1" applyFont="1" applyFill="1" applyBorder="1" applyAlignment="1">
      <alignment readingOrder="2"/>
    </xf>
    <xf numFmtId="168" fontId="6" fillId="0" borderId="0" xfId="1" applyNumberFormat="1" applyFont="1" applyFill="1" applyAlignment="1">
      <alignment readingOrder="2"/>
    </xf>
    <xf numFmtId="49" fontId="10" fillId="0" borderId="0" xfId="0" applyNumberFormat="1" applyFont="1" applyBorder="1" applyAlignment="1">
      <alignment horizontal="center" vertical="center" readingOrder="2"/>
    </xf>
    <xf numFmtId="167" fontId="10" fillId="0" borderId="0" xfId="0" applyNumberFormat="1" applyFont="1" applyAlignment="1">
      <alignment horizontal="center" vertical="center" wrapText="1" shrinkToFit="1" readingOrder="2"/>
    </xf>
    <xf numFmtId="168" fontId="10" fillId="0" borderId="1" xfId="0" applyNumberFormat="1" applyFont="1" applyBorder="1" applyAlignment="1">
      <alignment horizontal="center" vertical="center" readingOrder="2"/>
    </xf>
    <xf numFmtId="168" fontId="10" fillId="0" borderId="0" xfId="0" applyNumberFormat="1" applyFont="1" applyBorder="1" applyAlignment="1">
      <alignment horizontal="left" vertical="center" readingOrder="2"/>
    </xf>
    <xf numFmtId="168" fontId="10" fillId="0" borderId="2" xfId="0" applyNumberFormat="1" applyFont="1" applyBorder="1" applyAlignment="1">
      <alignment vertical="center" readingOrder="2"/>
    </xf>
    <xf numFmtId="3" fontId="10" fillId="0" borderId="0" xfId="0" applyNumberFormat="1" applyFont="1" applyFill="1" applyBorder="1" applyAlignment="1">
      <alignment horizontal="right" vertical="center" readingOrder="2"/>
    </xf>
    <xf numFmtId="0" fontId="10" fillId="0" borderId="0" xfId="0" applyFont="1" applyFill="1" applyAlignment="1">
      <alignment horizontal="center" vertical="center" readingOrder="2"/>
    </xf>
    <xf numFmtId="168" fontId="5" fillId="0" borderId="0" xfId="0" applyNumberFormat="1" applyFont="1" applyFill="1" applyBorder="1" applyAlignment="1">
      <alignment horizontal="left" vertical="center" readingOrder="2"/>
    </xf>
    <xf numFmtId="168" fontId="5" fillId="0" borderId="0" xfId="0" applyNumberFormat="1" applyFont="1" applyFill="1" applyBorder="1" applyAlignment="1">
      <alignment horizontal="right" vertical="center" readingOrder="2"/>
    </xf>
    <xf numFmtId="168" fontId="10" fillId="0" borderId="0" xfId="0" applyNumberFormat="1" applyFont="1" applyFill="1" applyBorder="1" applyAlignment="1">
      <alignment horizontal="left" vertical="center" readingOrder="2"/>
    </xf>
    <xf numFmtId="168" fontId="10" fillId="0" borderId="0" xfId="0" applyNumberFormat="1" applyFont="1" applyAlignment="1">
      <alignment horizontal="center" vertical="center" wrapText="1" shrinkToFit="1" readingOrder="2"/>
    </xf>
    <xf numFmtId="168" fontId="10" fillId="0" borderId="1" xfId="0" applyNumberFormat="1" applyFont="1" applyFill="1" applyBorder="1" applyAlignment="1">
      <alignment horizontal="center" vertical="center" readingOrder="2"/>
    </xf>
    <xf numFmtId="49" fontId="10"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Border="1" applyAlignment="1">
      <alignment vertical="center"/>
    </xf>
    <xf numFmtId="3"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wrapText="1"/>
    </xf>
    <xf numFmtId="3" fontId="10" fillId="0" borderId="0" xfId="0" applyNumberFormat="1"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center"/>
    </xf>
    <xf numFmtId="3" fontId="10" fillId="0" borderId="2" xfId="0" applyNumberFormat="1" applyFont="1" applyFill="1" applyBorder="1" applyAlignment="1">
      <alignment horizontal="right" vertical="center"/>
    </xf>
    <xf numFmtId="3" fontId="10" fillId="0" borderId="0" xfId="0" applyNumberFormat="1" applyFont="1" applyFill="1" applyBorder="1" applyAlignment="1">
      <alignment horizontal="center" vertical="center"/>
    </xf>
    <xf numFmtId="49" fontId="10" fillId="0" borderId="0" xfId="0" applyNumberFormat="1" applyFont="1" applyBorder="1" applyAlignment="1">
      <alignment horizontal="left" vertical="center" readingOrder="2"/>
    </xf>
    <xf numFmtId="0" fontId="10" fillId="0" borderId="0" xfId="0" applyNumberFormat="1" applyFont="1" applyBorder="1" applyAlignment="1">
      <alignment horizontal="right" vertical="center" readingOrder="2"/>
    </xf>
    <xf numFmtId="165" fontId="10" fillId="0" borderId="0" xfId="1" applyNumberFormat="1" applyFont="1" applyBorder="1" applyAlignment="1">
      <alignment horizontal="center" vertical="center" readingOrder="2"/>
    </xf>
    <xf numFmtId="167" fontId="10" fillId="0" borderId="0" xfId="0" applyNumberFormat="1" applyFont="1" applyBorder="1" applyAlignment="1">
      <alignment horizontal="center" vertical="center" wrapText="1" shrinkToFit="1" readingOrder="2"/>
    </xf>
    <xf numFmtId="0" fontId="10" fillId="0" borderId="0" xfId="0" applyFont="1" applyBorder="1" applyAlignment="1">
      <alignment horizontal="center" vertical="center" wrapText="1" readingOrder="2"/>
    </xf>
    <xf numFmtId="49" fontId="5" fillId="0" borderId="1" xfId="0" applyNumberFormat="1" applyFont="1" applyFill="1" applyBorder="1" applyAlignment="1">
      <alignment horizontal="center" vertical="center" readingOrder="2"/>
    </xf>
    <xf numFmtId="0" fontId="10" fillId="0" borderId="3" xfId="0" applyFont="1" applyFill="1" applyBorder="1" applyAlignment="1">
      <alignment horizontal="center" vertical="center" readingOrder="2"/>
    </xf>
    <xf numFmtId="167" fontId="10" fillId="0" borderId="0" xfId="1" applyNumberFormat="1" applyFont="1" applyFill="1" applyAlignment="1">
      <alignment horizontal="right" readingOrder="2"/>
    </xf>
    <xf numFmtId="167" fontId="10" fillId="0" borderId="2" xfId="0" applyNumberFormat="1" applyFont="1" applyFill="1" applyBorder="1" applyAlignment="1">
      <alignment horizontal="right" readingOrder="2"/>
    </xf>
    <xf numFmtId="167" fontId="10" fillId="0" borderId="0" xfId="0" applyNumberFormat="1" applyFont="1" applyFill="1" applyBorder="1" applyAlignment="1">
      <alignment horizontal="right" readingOrder="2"/>
    </xf>
    <xf numFmtId="0" fontId="5" fillId="0" borderId="1" xfId="0" applyNumberFormat="1" applyFont="1" applyFill="1" applyBorder="1" applyAlignment="1">
      <alignment horizontal="center" vertical="center" readingOrder="2"/>
    </xf>
    <xf numFmtId="0" fontId="10" fillId="0" borderId="0" xfId="0" applyFont="1" applyFill="1" applyBorder="1" applyAlignment="1">
      <alignment horizontal="center" readingOrder="2"/>
    </xf>
    <xf numFmtId="164" fontId="10" fillId="0" borderId="0" xfId="0" applyNumberFormat="1" applyFont="1" applyFill="1" applyBorder="1" applyAlignment="1">
      <alignment vertical="center" readingOrder="2"/>
    </xf>
    <xf numFmtId="0" fontId="6" fillId="0" borderId="0" xfId="0" applyFont="1" applyFill="1" applyAlignment="1">
      <alignment vertical="center" readingOrder="2"/>
    </xf>
    <xf numFmtId="168" fontId="10" fillId="0" borderId="5" xfId="0" applyNumberFormat="1" applyFont="1" applyFill="1" applyBorder="1" applyAlignment="1">
      <alignment horizontal="right" vertical="center" readingOrder="2"/>
    </xf>
    <xf numFmtId="168" fontId="10" fillId="0" borderId="0" xfId="0" applyNumberFormat="1" applyFont="1" applyFill="1" applyBorder="1" applyAlignment="1">
      <alignment horizontal="center" readingOrder="2"/>
    </xf>
    <xf numFmtId="168" fontId="10" fillId="0" borderId="1" xfId="0" applyNumberFormat="1" applyFont="1" applyFill="1" applyBorder="1" applyAlignment="1">
      <alignment horizontal="center" readingOrder="2"/>
    </xf>
    <xf numFmtId="168" fontId="10" fillId="0" borderId="3" xfId="0" applyNumberFormat="1" applyFont="1" applyFill="1" applyBorder="1" applyAlignment="1">
      <alignment horizontal="right" readingOrder="2"/>
    </xf>
    <xf numFmtId="168" fontId="10" fillId="0" borderId="6" xfId="0" applyNumberFormat="1" applyFont="1" applyFill="1" applyBorder="1" applyAlignment="1">
      <alignment horizontal="right" readingOrder="2"/>
    </xf>
    <xf numFmtId="168" fontId="10" fillId="0" borderId="7" xfId="0" applyNumberFormat="1" applyFont="1" applyFill="1" applyBorder="1" applyAlignment="1">
      <alignment horizontal="right" readingOrder="2"/>
    </xf>
    <xf numFmtId="168" fontId="10" fillId="0" borderId="4" xfId="0" applyNumberFormat="1" applyFont="1" applyFill="1" applyBorder="1" applyAlignment="1">
      <alignment horizontal="right" readingOrder="2"/>
    </xf>
    <xf numFmtId="168" fontId="10" fillId="0" borderId="2" xfId="0" applyNumberFormat="1" applyFont="1" applyFill="1" applyBorder="1" applyAlignment="1">
      <alignment horizontal="right" readingOrder="2"/>
    </xf>
    <xf numFmtId="168" fontId="10" fillId="0" borderId="6" xfId="0" applyNumberFormat="1" applyFont="1" applyFill="1" applyBorder="1" applyAlignment="1">
      <alignment horizontal="right" vertical="center" readingOrder="2"/>
    </xf>
    <xf numFmtId="168" fontId="6" fillId="0" borderId="0" xfId="0" applyNumberFormat="1" applyFont="1" applyFill="1" applyBorder="1" applyAlignment="1">
      <alignment horizontal="right" readingOrder="2"/>
    </xf>
    <xf numFmtId="168" fontId="10" fillId="0" borderId="0" xfId="0" quotePrefix="1" applyNumberFormat="1" applyFont="1" applyFill="1" applyBorder="1" applyAlignment="1">
      <alignment horizontal="right" vertical="center" readingOrder="2"/>
    </xf>
    <xf numFmtId="168" fontId="9" fillId="0" borderId="0" xfId="0" applyNumberFormat="1" applyFont="1" applyFill="1" applyBorder="1" applyAlignment="1">
      <alignment readingOrder="2"/>
    </xf>
    <xf numFmtId="168" fontId="9" fillId="0" borderId="0" xfId="0" applyNumberFormat="1" applyFont="1" applyFill="1" applyBorder="1" applyAlignment="1">
      <alignment horizontal="right" readingOrder="2"/>
    </xf>
    <xf numFmtId="168" fontId="8" fillId="0" borderId="0" xfId="0" applyNumberFormat="1" applyFont="1" applyFill="1" applyBorder="1" applyAlignment="1">
      <alignment horizontal="right" readingOrder="2"/>
    </xf>
    <xf numFmtId="168" fontId="8" fillId="0" borderId="0" xfId="0" applyNumberFormat="1" applyFont="1" applyFill="1" applyBorder="1" applyAlignment="1">
      <alignment readingOrder="2"/>
    </xf>
    <xf numFmtId="168" fontId="13" fillId="0" borderId="0" xfId="0" applyNumberFormat="1" applyFont="1" applyFill="1" applyAlignment="1">
      <alignment horizontal="right" readingOrder="2"/>
    </xf>
    <xf numFmtId="168" fontId="5" fillId="0" borderId="0" xfId="0" applyNumberFormat="1" applyFont="1" applyFill="1" applyAlignment="1">
      <alignment horizontal="center" readingOrder="2"/>
    </xf>
    <xf numFmtId="168" fontId="5" fillId="0" borderId="0" xfId="0" applyNumberFormat="1" applyFont="1" applyFill="1" applyAlignment="1">
      <alignment readingOrder="2"/>
    </xf>
    <xf numFmtId="168" fontId="10" fillId="0" borderId="7" xfId="0" applyNumberFormat="1" applyFont="1" applyFill="1" applyBorder="1" applyAlignment="1">
      <alignment horizontal="right" vertical="center" readingOrder="2"/>
    </xf>
    <xf numFmtId="49" fontId="5" fillId="0" borderId="0" xfId="0" applyNumberFormat="1" applyFont="1" applyBorder="1" applyAlignment="1">
      <alignment horizontal="center" readingOrder="2"/>
    </xf>
    <xf numFmtId="0" fontId="4" fillId="0" borderId="1" xfId="0" applyFont="1" applyBorder="1" applyAlignment="1">
      <alignment horizontal="center" vertical="center" wrapText="1" readingOrder="2"/>
    </xf>
    <xf numFmtId="0" fontId="12" fillId="0" borderId="0" xfId="0" applyFont="1" applyBorder="1" applyAlignment="1">
      <alignment horizontal="center" vertical="center" readingOrder="2"/>
    </xf>
    <xf numFmtId="0" fontId="10" fillId="0" borderId="0" xfId="0" applyFont="1" applyFill="1" applyBorder="1" applyAlignment="1">
      <alignment horizontal="right" readingOrder="2"/>
    </xf>
    <xf numFmtId="3" fontId="10" fillId="0" borderId="0" xfId="0" applyNumberFormat="1" applyFont="1" applyFill="1" applyBorder="1" applyAlignment="1">
      <alignment horizontal="center" readingOrder="2"/>
    </xf>
    <xf numFmtId="0" fontId="10" fillId="0" borderId="1" xfId="0" applyFont="1" applyFill="1" applyBorder="1" applyAlignment="1">
      <alignment horizontal="center" readingOrder="2"/>
    </xf>
    <xf numFmtId="0" fontId="10" fillId="0" borderId="2" xfId="0" applyFont="1" applyBorder="1" applyAlignment="1">
      <alignment horizontal="center" readingOrder="2"/>
    </xf>
    <xf numFmtId="0" fontId="10" fillId="0" borderId="0" xfId="0" applyFont="1" applyBorder="1" applyAlignment="1">
      <alignment wrapText="1" shrinkToFit="1" readingOrder="2"/>
    </xf>
    <xf numFmtId="168" fontId="16" fillId="0" borderId="0" xfId="0" applyNumberFormat="1" applyFont="1" applyFill="1" applyAlignment="1">
      <alignment horizontal="right" readingOrder="2"/>
    </xf>
    <xf numFmtId="170" fontId="10" fillId="0" borderId="0" xfId="0" applyNumberFormat="1" applyFont="1" applyBorder="1" applyAlignment="1">
      <alignment horizontal="right" vertical="center" readingOrder="2"/>
    </xf>
    <xf numFmtId="3" fontId="10" fillId="0" borderId="3" xfId="0" applyNumberFormat="1" applyFont="1" applyBorder="1" applyAlignment="1">
      <alignment horizontal="right" vertical="center" readingOrder="2"/>
    </xf>
    <xf numFmtId="38" fontId="10" fillId="0" borderId="0" xfId="0" applyNumberFormat="1" applyFont="1" applyBorder="1" applyAlignment="1">
      <alignment vertical="center" readingOrder="2"/>
    </xf>
    <xf numFmtId="0" fontId="10" fillId="0" borderId="0" xfId="0" applyFont="1" applyBorder="1" applyAlignment="1">
      <alignment horizontal="right" wrapText="1" readingOrder="2"/>
    </xf>
    <xf numFmtId="170" fontId="10" fillId="0" borderId="1" xfId="0" applyNumberFormat="1" applyFont="1" applyBorder="1" applyAlignment="1">
      <alignment horizontal="right" vertical="center" readingOrder="2"/>
    </xf>
    <xf numFmtId="38" fontId="10" fillId="0" borderId="0" xfId="0" applyNumberFormat="1" applyFont="1" applyBorder="1" applyAlignment="1">
      <alignment horizontal="right" vertical="center" readingOrder="2"/>
    </xf>
    <xf numFmtId="168" fontId="17" fillId="0" borderId="0" xfId="0" applyNumberFormat="1" applyFont="1" applyFill="1" applyBorder="1"/>
    <xf numFmtId="38" fontId="10" fillId="0" borderId="1" xfId="0" applyNumberFormat="1" applyFont="1" applyBorder="1" applyAlignment="1">
      <alignment vertical="center" readingOrder="2"/>
    </xf>
    <xf numFmtId="3" fontId="10" fillId="0" borderId="3" xfId="0" applyNumberFormat="1" applyFont="1" applyFill="1" applyBorder="1" applyAlignment="1">
      <alignment vertical="center" readingOrder="2"/>
    </xf>
    <xf numFmtId="38" fontId="10" fillId="0" borderId="0" xfId="0" applyNumberFormat="1" applyFont="1" applyFill="1" applyBorder="1" applyAlignment="1">
      <alignment vertical="center" readingOrder="2"/>
    </xf>
    <xf numFmtId="0" fontId="5" fillId="0" borderId="0" xfId="0" applyFont="1" applyBorder="1" applyAlignment="1">
      <alignment horizontal="center" readingOrder="2"/>
    </xf>
    <xf numFmtId="168" fontId="10" fillId="0" borderId="3" xfId="0" applyNumberFormat="1" applyFont="1" applyFill="1" applyBorder="1" applyAlignment="1">
      <alignment horizontal="right" vertical="center" readingOrder="2"/>
    </xf>
    <xf numFmtId="0" fontId="10" fillId="0" borderId="0" xfId="0" applyFont="1" applyBorder="1"/>
    <xf numFmtId="170" fontId="10" fillId="0" borderId="2" xfId="0" applyNumberFormat="1" applyFont="1" applyBorder="1" applyAlignment="1">
      <alignment horizontal="right" vertical="center" readingOrder="2"/>
    </xf>
    <xf numFmtId="0" fontId="18" fillId="0" borderId="0" xfId="0" applyFont="1" applyBorder="1"/>
    <xf numFmtId="0" fontId="5" fillId="0" borderId="1" xfId="0" applyFont="1" applyBorder="1" applyAlignment="1">
      <alignment horizontal="center" readingOrder="2"/>
    </xf>
    <xf numFmtId="0" fontId="18" fillId="0" borderId="0" xfId="0" applyFont="1" applyBorder="1" applyAlignment="1">
      <alignment horizontal="center" vertical="top" readingOrder="2"/>
    </xf>
    <xf numFmtId="167" fontId="10" fillId="0" borderId="0" xfId="0" applyNumberFormat="1" applyFont="1" applyBorder="1" applyAlignment="1">
      <alignment vertical="center" wrapText="1" shrinkToFit="1" readingOrder="2"/>
    </xf>
    <xf numFmtId="0" fontId="18" fillId="0" borderId="0" xfId="0" applyFont="1" applyFill="1" applyBorder="1" applyAlignment="1">
      <alignment horizontal="right" vertical="center" readingOrder="2"/>
    </xf>
    <xf numFmtId="3" fontId="10" fillId="0" borderId="4" xfId="0" applyNumberFormat="1" applyFont="1" applyFill="1" applyBorder="1" applyAlignment="1">
      <alignment vertical="center" readingOrder="2"/>
    </xf>
    <xf numFmtId="49" fontId="10" fillId="0" borderId="0" xfId="0" applyNumberFormat="1" applyFont="1" applyFill="1" applyBorder="1" applyAlignment="1">
      <alignment horizontal="center" vertical="center" readingOrder="2"/>
    </xf>
    <xf numFmtId="170" fontId="10" fillId="0" borderId="0" xfId="0" applyNumberFormat="1" applyFont="1" applyFill="1" applyBorder="1" applyAlignment="1">
      <alignment horizontal="right" vertical="center" readingOrder="2"/>
    </xf>
    <xf numFmtId="170" fontId="10" fillId="0" borderId="0" xfId="0" applyNumberFormat="1" applyFont="1" applyFill="1" applyBorder="1" applyAlignment="1">
      <alignment horizontal="right" vertical="center"/>
    </xf>
    <xf numFmtId="170" fontId="10" fillId="0" borderId="0" xfId="0" applyNumberFormat="1" applyFont="1" applyAlignment="1">
      <alignment vertical="center" readingOrder="2"/>
    </xf>
    <xf numFmtId="168" fontId="10" fillId="0" borderId="3" xfId="0" applyNumberFormat="1" applyFont="1" applyBorder="1" applyAlignment="1">
      <alignment vertical="center" readingOrder="2"/>
    </xf>
    <xf numFmtId="0" fontId="10" fillId="0" borderId="0" xfId="0" applyFont="1" applyBorder="1" applyAlignment="1">
      <alignment horizontal="right" vertical="center" readingOrder="1"/>
    </xf>
    <xf numFmtId="49" fontId="10" fillId="0" borderId="1" xfId="0" applyNumberFormat="1" applyFont="1" applyFill="1" applyBorder="1" applyAlignment="1">
      <alignment horizontal="center" vertical="center" readingOrder="2"/>
    </xf>
    <xf numFmtId="3" fontId="10" fillId="0" borderId="3" xfId="0" applyNumberFormat="1" applyFont="1" applyFill="1" applyBorder="1" applyAlignment="1">
      <alignment horizontal="right" vertical="center" readingOrder="2"/>
    </xf>
    <xf numFmtId="0" fontId="13" fillId="0" borderId="0" xfId="0" applyFont="1" applyAlignment="1">
      <alignment vertical="center" readingOrder="2"/>
    </xf>
    <xf numFmtId="0" fontId="10" fillId="0" borderId="0" xfId="0" applyFont="1" applyFill="1" applyBorder="1" applyAlignment="1">
      <alignment horizontal="right" vertical="center" wrapText="1" readingOrder="2"/>
    </xf>
    <xf numFmtId="0" fontId="10" fillId="0" borderId="1" xfId="0" applyFont="1" applyBorder="1" applyAlignment="1">
      <alignment horizontal="center" vertical="center" readingOrder="2"/>
    </xf>
    <xf numFmtId="3" fontId="10" fillId="0" borderId="0" xfId="0" applyNumberFormat="1" applyFont="1" applyFill="1" applyBorder="1" applyAlignment="1">
      <alignment horizontal="center" readingOrder="2"/>
    </xf>
    <xf numFmtId="0" fontId="10" fillId="0" borderId="0" xfId="0" applyFont="1" applyBorder="1" applyAlignment="1">
      <alignment horizontal="right" vertical="center" wrapText="1" readingOrder="2"/>
    </xf>
    <xf numFmtId="0" fontId="10" fillId="0" borderId="0" xfId="0" applyFont="1" applyBorder="1" applyAlignment="1">
      <alignment horizontal="center" vertical="center" readingOrder="2"/>
    </xf>
    <xf numFmtId="49" fontId="10" fillId="0" borderId="1" xfId="0" applyNumberFormat="1" applyFont="1" applyFill="1" applyBorder="1" applyAlignment="1">
      <alignment horizontal="center" vertical="center" readingOrder="2"/>
    </xf>
    <xf numFmtId="49" fontId="5" fillId="0" borderId="0" xfId="0" applyNumberFormat="1" applyFont="1" applyBorder="1" applyAlignment="1">
      <alignment horizontal="center" vertical="center" readingOrder="2"/>
    </xf>
    <xf numFmtId="170" fontId="10" fillId="0" borderId="0" xfId="0" applyNumberFormat="1" applyFont="1" applyAlignment="1">
      <alignment horizontal="right" vertical="center" readingOrder="2"/>
    </xf>
    <xf numFmtId="170" fontId="10" fillId="0" borderId="0" xfId="0" quotePrefix="1" applyNumberFormat="1" applyFont="1" applyFill="1" applyAlignment="1">
      <alignment horizontal="right" vertical="center" readingOrder="2"/>
    </xf>
    <xf numFmtId="168" fontId="10" fillId="0" borderId="4" xfId="0" applyNumberFormat="1" applyFont="1" applyBorder="1" applyAlignment="1">
      <alignment horizontal="center" readingOrder="2"/>
    </xf>
    <xf numFmtId="168" fontId="10" fillId="0" borderId="3" xfId="0" applyNumberFormat="1" applyFont="1" applyBorder="1" applyAlignment="1">
      <alignment horizontal="center" readingOrder="2"/>
    </xf>
    <xf numFmtId="171" fontId="10" fillId="0" borderId="0" xfId="0" applyNumberFormat="1" applyFont="1" applyFill="1" applyBorder="1" applyAlignment="1">
      <alignment horizontal="right" vertical="center" readingOrder="2"/>
    </xf>
    <xf numFmtId="0" fontId="10" fillId="0" borderId="1" xfId="0" applyFont="1" applyFill="1" applyBorder="1" applyAlignment="1">
      <alignment horizontal="center" readingOrder="2"/>
    </xf>
    <xf numFmtId="0" fontId="10" fillId="0" borderId="0" xfId="0" applyFont="1" applyBorder="1" applyAlignment="1">
      <alignment horizontal="center" vertical="center" readingOrder="2"/>
    </xf>
    <xf numFmtId="0" fontId="5" fillId="0" borderId="0" xfId="0" applyFont="1" applyFill="1" applyBorder="1" applyAlignment="1">
      <alignment horizontal="center" vertical="center" readingOrder="2"/>
    </xf>
    <xf numFmtId="0" fontId="10" fillId="0" borderId="1" xfId="0" applyFont="1" applyFill="1" applyBorder="1" applyAlignment="1">
      <alignment horizontal="center" vertical="center" readingOrder="2"/>
    </xf>
    <xf numFmtId="0" fontId="10" fillId="0" borderId="2" xfId="0" applyFont="1" applyFill="1" applyBorder="1" applyAlignment="1">
      <alignment horizontal="right" vertical="center" readingOrder="2"/>
    </xf>
    <xf numFmtId="167" fontId="10" fillId="0" borderId="0" xfId="0" applyNumberFormat="1" applyFont="1" applyBorder="1" applyAlignment="1">
      <alignment vertical="center" shrinkToFit="1" readingOrder="2"/>
    </xf>
    <xf numFmtId="0" fontId="10" fillId="0" borderId="0" xfId="0" applyFont="1" applyFill="1" applyAlignment="1">
      <alignment horizontal="center" readingOrder="2"/>
    </xf>
    <xf numFmtId="49" fontId="10" fillId="0" borderId="0" xfId="0" applyNumberFormat="1" applyFont="1" applyFill="1" applyBorder="1" applyAlignment="1">
      <alignment vertical="center" readingOrder="2"/>
    </xf>
    <xf numFmtId="167" fontId="10" fillId="0" borderId="0" xfId="0" applyNumberFormat="1" applyFont="1" applyAlignment="1">
      <alignment horizontal="right" vertical="center" wrapText="1" shrinkToFit="1" readingOrder="2"/>
    </xf>
    <xf numFmtId="0" fontId="10" fillId="0" borderId="2" xfId="0" applyFont="1" applyFill="1" applyBorder="1" applyAlignment="1">
      <alignment vertical="center" readingOrder="2"/>
    </xf>
    <xf numFmtId="172" fontId="10" fillId="0" borderId="1" xfId="0" applyNumberFormat="1" applyFont="1" applyBorder="1" applyAlignment="1">
      <alignment horizontal="right" vertical="center" readingOrder="2"/>
    </xf>
    <xf numFmtId="168" fontId="10" fillId="0" borderId="0" xfId="0" applyNumberFormat="1" applyFont="1" applyBorder="1" applyAlignment="1">
      <alignment horizontal="center" readingOrder="2"/>
    </xf>
    <xf numFmtId="172" fontId="10" fillId="0" borderId="0" xfId="0" applyNumberFormat="1" applyFont="1" applyBorder="1" applyAlignment="1">
      <alignment horizontal="right" readingOrder="2"/>
    </xf>
    <xf numFmtId="0" fontId="10" fillId="0" borderId="1" xfId="0" applyFont="1" applyFill="1" applyBorder="1" applyAlignment="1">
      <alignment vertical="center" readingOrder="2"/>
    </xf>
    <xf numFmtId="172" fontId="10" fillId="0" borderId="0" xfId="0" applyNumberFormat="1" applyFont="1" applyFill="1" applyBorder="1" applyAlignment="1">
      <alignment horizontal="right" vertical="center" readingOrder="2"/>
    </xf>
    <xf numFmtId="0" fontId="10" fillId="0" borderId="0" xfId="0" applyNumberFormat="1" applyFont="1" applyFill="1" applyAlignment="1">
      <alignment horizontal="right" vertical="center" readingOrder="2"/>
    </xf>
    <xf numFmtId="3" fontId="10" fillId="0" borderId="0" xfId="0" applyNumberFormat="1" applyFont="1" applyFill="1" applyAlignment="1">
      <alignment horizontal="right" vertical="center" readingOrder="1"/>
    </xf>
    <xf numFmtId="0" fontId="10" fillId="0" borderId="0" xfId="0" applyNumberFormat="1" applyFont="1" applyFill="1" applyAlignment="1">
      <alignment horizontal="right" vertical="center" readingOrder="1"/>
    </xf>
    <xf numFmtId="0" fontId="10" fillId="0" borderId="0" xfId="0" applyFont="1" applyFill="1" applyAlignment="1">
      <alignment vertical="center" wrapText="1" readingOrder="2"/>
    </xf>
    <xf numFmtId="170" fontId="10" fillId="0" borderId="0" xfId="0" applyNumberFormat="1" applyFont="1" applyFill="1" applyAlignment="1">
      <alignment vertical="center" readingOrder="2"/>
    </xf>
    <xf numFmtId="0" fontId="5" fillId="0" borderId="0" xfId="0" applyFont="1" applyFill="1" applyAlignment="1">
      <alignment horizontal="right"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Border="1" applyAlignment="1">
      <alignment horizontal="right" vertical="center" readingOrder="2"/>
    </xf>
    <xf numFmtId="49" fontId="5" fillId="0" borderId="0" xfId="0" applyNumberFormat="1" applyFont="1" applyFill="1" applyBorder="1" applyAlignment="1">
      <alignment vertical="center" readingOrder="2"/>
    </xf>
    <xf numFmtId="49" fontId="5" fillId="0" borderId="0" xfId="0" applyNumberFormat="1" applyFont="1" applyFill="1" applyBorder="1" applyAlignment="1">
      <alignment horizontal="center" vertical="center" readingOrder="2"/>
    </xf>
    <xf numFmtId="3" fontId="11" fillId="0" borderId="0" xfId="0" applyNumberFormat="1" applyFont="1" applyFill="1" applyAlignment="1">
      <alignment readingOrder="2"/>
    </xf>
    <xf numFmtId="0" fontId="6" fillId="0" borderId="0" xfId="0" applyFont="1" applyFill="1" applyBorder="1" applyAlignment="1">
      <alignment vertical="center" readingOrder="2"/>
    </xf>
    <xf numFmtId="0" fontId="10" fillId="0" borderId="0" xfId="0" applyFont="1" applyFill="1" applyAlignment="1">
      <alignment horizontal="right" readingOrder="2"/>
    </xf>
    <xf numFmtId="0" fontId="10" fillId="0" borderId="0" xfId="0" applyFont="1" applyFill="1" applyAlignment="1">
      <alignment readingOrder="2"/>
    </xf>
    <xf numFmtId="0" fontId="10" fillId="0" borderId="3" xfId="0" applyFont="1" applyFill="1" applyBorder="1" applyAlignment="1">
      <alignment horizontal="center" readingOrder="2"/>
    </xf>
    <xf numFmtId="0" fontId="5" fillId="0" borderId="0" xfId="0" applyNumberFormat="1" applyFont="1" applyFill="1" applyBorder="1" applyAlignment="1">
      <alignment horizontal="center" vertical="center" readingOrder="2"/>
    </xf>
    <xf numFmtId="0" fontId="10" fillId="0" borderId="0" xfId="0" applyNumberFormat="1" applyFont="1" applyFill="1" applyBorder="1" applyAlignment="1">
      <alignment horizontal="right" vertical="center"/>
    </xf>
    <xf numFmtId="170" fontId="10" fillId="0" borderId="0" xfId="0" applyNumberFormat="1" applyFont="1" applyFill="1" applyBorder="1" applyAlignment="1">
      <alignment vertical="center" readingOrder="2"/>
    </xf>
    <xf numFmtId="0" fontId="10" fillId="0" borderId="0" xfId="0" applyFont="1" applyBorder="1" applyAlignment="1">
      <alignment horizontal="right" wrapText="1" shrinkToFit="1" readingOrder="2"/>
    </xf>
    <xf numFmtId="0" fontId="10" fillId="0" borderId="0" xfId="0" applyFont="1" applyAlignment="1">
      <alignment vertical="center" wrapText="1" readingOrder="2"/>
    </xf>
    <xf numFmtId="0" fontId="10" fillId="0" borderId="0" xfId="0" applyFont="1" applyBorder="1" applyAlignment="1">
      <alignment horizontal="center" vertical="center" readingOrder="2"/>
    </xf>
    <xf numFmtId="168" fontId="5" fillId="0" borderId="0" xfId="0" applyNumberFormat="1" applyFont="1" applyFill="1" applyAlignment="1">
      <alignment horizontal="center" readingOrder="2"/>
    </xf>
    <xf numFmtId="170" fontId="10" fillId="0" borderId="3" xfId="0" applyNumberFormat="1" applyFont="1" applyBorder="1" applyAlignment="1">
      <alignment horizontal="right" vertical="center" readingOrder="2"/>
    </xf>
    <xf numFmtId="0" fontId="10" fillId="0" borderId="0" xfId="0" applyFont="1" applyBorder="1" applyAlignment="1">
      <alignment horizontal="center" readingOrder="2"/>
    </xf>
    <xf numFmtId="0" fontId="10" fillId="0" borderId="0" xfId="0" applyFont="1" applyBorder="1" applyAlignment="1">
      <alignment horizontal="center" vertical="center" readingOrder="2"/>
    </xf>
    <xf numFmtId="3" fontId="10" fillId="0" borderId="1" xfId="0" applyNumberFormat="1" applyFont="1" applyFill="1" applyBorder="1" applyAlignment="1">
      <alignment horizontal="right" vertical="center" readingOrder="2"/>
    </xf>
    <xf numFmtId="3" fontId="10" fillId="0" borderId="7" xfId="0" applyNumberFormat="1" applyFont="1" applyFill="1" applyBorder="1" applyAlignment="1">
      <alignment horizontal="right" vertical="center" readingOrder="2"/>
    </xf>
    <xf numFmtId="0" fontId="10" fillId="0" borderId="0" xfId="0" applyNumberFormat="1" applyFont="1" applyFill="1" applyAlignment="1">
      <alignment vertical="center" readingOrder="2"/>
    </xf>
    <xf numFmtId="0" fontId="10" fillId="0" borderId="0" xfId="0" applyFont="1" applyBorder="1" applyAlignment="1">
      <alignment horizontal="center" readingOrder="2"/>
    </xf>
    <xf numFmtId="170" fontId="10" fillId="0" borderId="1" xfId="0" applyNumberFormat="1" applyFont="1" applyFill="1" applyBorder="1" applyAlignment="1">
      <alignment horizontal="right" readingOrder="2"/>
    </xf>
    <xf numFmtId="0" fontId="10" fillId="0" borderId="1" xfId="0" applyFont="1" applyBorder="1" applyAlignment="1">
      <alignment horizontal="center" vertical="center" readingOrder="2"/>
    </xf>
    <xf numFmtId="0" fontId="10" fillId="0" borderId="0" xfId="0" applyFont="1" applyAlignment="1">
      <alignment horizontal="right" vertical="center" wrapText="1" readingOrder="2"/>
    </xf>
    <xf numFmtId="0" fontId="10" fillId="0" borderId="0" xfId="0" applyNumberFormat="1" applyFont="1" applyBorder="1" applyAlignment="1">
      <alignment horizontal="center" vertical="center" readingOrder="2"/>
    </xf>
    <xf numFmtId="49" fontId="10" fillId="0" borderId="0" xfId="0" applyNumberFormat="1" applyFont="1" applyBorder="1" applyAlignment="1">
      <alignment horizontal="center" vertical="center" readingOrder="2"/>
    </xf>
    <xf numFmtId="0" fontId="10" fillId="0" borderId="1" xfId="0" applyFont="1" applyBorder="1" applyAlignment="1">
      <alignment horizontal="center" vertical="center" readingOrder="2"/>
    </xf>
    <xf numFmtId="49" fontId="10" fillId="0" borderId="3" xfId="0" applyNumberFormat="1" applyFont="1" applyBorder="1" applyAlignment="1">
      <alignment horizontal="center" vertical="center" readingOrder="2"/>
    </xf>
    <xf numFmtId="0" fontId="10" fillId="0" borderId="0" xfId="0" applyFont="1" applyAlignment="1">
      <alignment horizontal="center" vertical="center" readingOrder="2"/>
    </xf>
    <xf numFmtId="164" fontId="4" fillId="0" borderId="0" xfId="0" applyNumberFormat="1" applyFont="1" applyAlignment="1">
      <alignment horizontal="center" vertical="center" readingOrder="2"/>
    </xf>
    <xf numFmtId="0" fontId="10" fillId="0" borderId="3" xfId="0" applyFont="1" applyBorder="1" applyAlignment="1">
      <alignment horizontal="center" vertical="center" readingOrder="2"/>
    </xf>
    <xf numFmtId="168" fontId="10" fillId="0" borderId="0" xfId="0" applyNumberFormat="1" applyFont="1" applyFill="1" applyAlignment="1">
      <alignment horizontal="center" readingOrder="2"/>
    </xf>
    <xf numFmtId="168" fontId="5" fillId="0" borderId="0" xfId="0" applyNumberFormat="1" applyFont="1" applyFill="1" applyAlignment="1">
      <alignment horizontal="center" readingOrder="2"/>
    </xf>
    <xf numFmtId="168" fontId="10" fillId="0" borderId="1" xfId="0" applyNumberFormat="1" applyFont="1" applyFill="1" applyBorder="1" applyAlignment="1">
      <alignment horizontal="center" readingOrder="2"/>
    </xf>
    <xf numFmtId="0" fontId="10" fillId="0" borderId="0" xfId="0" applyFont="1" applyBorder="1" applyAlignment="1">
      <alignment horizontal="right" vertical="top" wrapText="1" shrinkToFit="1" readingOrder="2"/>
    </xf>
    <xf numFmtId="0" fontId="10" fillId="0" borderId="0" xfId="0" applyFont="1" applyBorder="1" applyAlignment="1">
      <alignment horizontal="center" readingOrder="2"/>
    </xf>
    <xf numFmtId="0" fontId="5" fillId="0" borderId="0" xfId="0" applyFont="1" applyBorder="1" applyAlignment="1">
      <alignment horizontal="center" readingOrder="2"/>
    </xf>
    <xf numFmtId="0" fontId="10" fillId="0" borderId="0" xfId="0" applyFont="1" applyBorder="1" applyAlignment="1">
      <alignment horizontal="right" vertical="center" wrapText="1" shrinkToFit="1" readingOrder="2"/>
    </xf>
    <xf numFmtId="3" fontId="10" fillId="0" borderId="2" xfId="0" applyNumberFormat="1" applyFont="1" applyFill="1" applyBorder="1" applyAlignment="1">
      <alignment horizontal="center" readingOrder="2"/>
    </xf>
    <xf numFmtId="3" fontId="10" fillId="0" borderId="3" xfId="0" applyNumberFormat="1" applyFont="1" applyFill="1" applyBorder="1" applyAlignment="1">
      <alignment horizontal="center" readingOrder="2"/>
    </xf>
    <xf numFmtId="0" fontId="10" fillId="0" borderId="1" xfId="0" applyFont="1" applyFill="1" applyBorder="1" applyAlignment="1">
      <alignment horizontal="center" readingOrder="2"/>
    </xf>
    <xf numFmtId="3" fontId="10" fillId="0" borderId="0" xfId="0" applyNumberFormat="1" applyFont="1" applyFill="1" applyBorder="1" applyAlignment="1">
      <alignment horizontal="center" readingOrder="2"/>
    </xf>
    <xf numFmtId="3" fontId="10" fillId="0" borderId="1" xfId="0" applyNumberFormat="1" applyFont="1" applyFill="1" applyBorder="1" applyAlignment="1">
      <alignment horizontal="center" readingOrder="2"/>
    </xf>
    <xf numFmtId="0" fontId="10" fillId="0" borderId="0" xfId="0" applyFont="1" applyBorder="1" applyAlignment="1">
      <alignment horizontal="right" wrapText="1" readingOrder="2"/>
    </xf>
    <xf numFmtId="0" fontId="10" fillId="0" borderId="1" xfId="0" applyFont="1" applyBorder="1" applyAlignment="1">
      <alignment horizontal="center" readingOrder="2"/>
    </xf>
    <xf numFmtId="0" fontId="5" fillId="0" borderId="0" xfId="0" applyFont="1" applyAlignment="1">
      <alignment horizontal="center" vertical="center" readingOrder="2"/>
    </xf>
    <xf numFmtId="0" fontId="10" fillId="0" borderId="0" xfId="0" applyFont="1" applyBorder="1" applyAlignment="1">
      <alignment horizontal="right" wrapText="1" shrinkToFit="1" readingOrder="2"/>
    </xf>
    <xf numFmtId="0" fontId="5" fillId="0" borderId="0" xfId="0" applyFont="1" applyFill="1" applyAlignment="1">
      <alignment horizontal="center" vertical="center" readingOrder="2"/>
    </xf>
    <xf numFmtId="0" fontId="10" fillId="0" borderId="0" xfId="0" applyFont="1" applyFill="1" applyBorder="1" applyAlignment="1">
      <alignment horizontal="right" vertical="center" wrapText="1" readingOrder="2"/>
    </xf>
    <xf numFmtId="0" fontId="5" fillId="0" borderId="1" xfId="0" applyFont="1" applyBorder="1" applyAlignment="1">
      <alignment horizontal="center" vertical="center" wrapText="1" readingOrder="2"/>
    </xf>
    <xf numFmtId="0" fontId="3" fillId="0" borderId="1" xfId="0" applyFont="1" applyBorder="1" applyAlignment="1">
      <alignment horizontal="center" vertical="center" wrapText="1" readingOrder="2"/>
    </xf>
    <xf numFmtId="49" fontId="5" fillId="0" borderId="0" xfId="0" applyNumberFormat="1" applyFont="1" applyBorder="1" applyAlignment="1">
      <alignment horizontal="center" readingOrder="2"/>
    </xf>
    <xf numFmtId="0" fontId="10" fillId="0" borderId="0" xfId="0" applyFont="1" applyBorder="1" applyAlignment="1">
      <alignment horizontal="right" vertical="center" wrapText="1" readingOrder="2"/>
    </xf>
    <xf numFmtId="49" fontId="12" fillId="0" borderId="0" xfId="0" applyNumberFormat="1" applyFont="1" applyFill="1" applyBorder="1" applyAlignment="1">
      <alignment horizontal="right" vertical="center" wrapText="1" readingOrder="2"/>
    </xf>
    <xf numFmtId="0" fontId="10" fillId="0" borderId="0" xfId="0" applyNumberFormat="1" applyFont="1" applyFill="1" applyAlignment="1">
      <alignment horizontal="right" vertical="center" wrapText="1" readingOrder="2"/>
    </xf>
    <xf numFmtId="49" fontId="12" fillId="0" borderId="0" xfId="0" applyNumberFormat="1" applyFont="1" applyFill="1" applyBorder="1" applyAlignment="1">
      <alignment horizontal="right" vertical="center" readingOrder="2"/>
    </xf>
    <xf numFmtId="0" fontId="10" fillId="0" borderId="3" xfId="0" applyFont="1" applyBorder="1" applyAlignment="1">
      <alignment horizontal="center" vertical="center" wrapText="1" readingOrder="2"/>
    </xf>
    <xf numFmtId="0" fontId="10" fillId="0" borderId="1" xfId="0" applyFont="1" applyBorder="1" applyAlignment="1">
      <alignment horizontal="center" vertical="center" wrapText="1" readingOrder="2"/>
    </xf>
    <xf numFmtId="168" fontId="10" fillId="0" borderId="0" xfId="0" applyNumberFormat="1" applyFont="1" applyAlignment="1">
      <alignment horizontal="center" vertical="center" readingOrder="2"/>
    </xf>
    <xf numFmtId="0" fontId="10" fillId="0" borderId="0" xfId="0" applyFont="1" applyBorder="1" applyAlignment="1">
      <alignment horizontal="center" vertical="center" readingOrder="2"/>
    </xf>
    <xf numFmtId="168" fontId="5" fillId="0" borderId="0" xfId="0" applyNumberFormat="1" applyFont="1" applyAlignment="1">
      <alignment horizontal="center" vertical="center" readingOrder="2"/>
    </xf>
    <xf numFmtId="168" fontId="10" fillId="0" borderId="0" xfId="0" applyNumberFormat="1" applyFont="1" applyAlignment="1">
      <alignment horizontal="right" vertical="center" wrapText="1" readingOrder="2"/>
    </xf>
    <xf numFmtId="169" fontId="10" fillId="0" borderId="1" xfId="0" applyNumberFormat="1" applyFont="1" applyBorder="1" applyAlignment="1">
      <alignment horizontal="center" vertical="center" readingOrder="2"/>
    </xf>
    <xf numFmtId="168" fontId="5" fillId="0" borderId="0" xfId="0" applyNumberFormat="1" applyFont="1" applyFill="1" applyBorder="1" applyAlignment="1">
      <alignment horizontal="center" vertical="center" readingOrder="2"/>
    </xf>
    <xf numFmtId="0" fontId="5" fillId="0" borderId="0" xfId="0" applyFont="1" applyFill="1" applyBorder="1" applyAlignment="1">
      <alignment horizontal="center" vertical="center" readingOrder="2"/>
    </xf>
    <xf numFmtId="0" fontId="10" fillId="0" borderId="1" xfId="0" applyFont="1" applyFill="1" applyBorder="1" applyAlignment="1">
      <alignment horizontal="center" vertical="center" readingOrder="2"/>
    </xf>
    <xf numFmtId="49" fontId="10" fillId="0" borderId="1" xfId="0" applyNumberFormat="1" applyFont="1" applyFill="1" applyBorder="1" applyAlignment="1">
      <alignment horizontal="center" vertical="center" readingOrder="2"/>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rightToLeft="1" tabSelected="1" zoomScaleSheetLayoutView="85" workbookViewId="0">
      <selection activeCell="K8" sqref="K8"/>
    </sheetView>
  </sheetViews>
  <sheetFormatPr defaultRowHeight="18.75" x14ac:dyDescent="0.2"/>
  <cols>
    <col min="1" max="1" width="14.28515625" style="1" customWidth="1"/>
    <col min="2" max="2" width="8.7109375" style="1" customWidth="1"/>
    <col min="3" max="3" width="9.140625" style="1"/>
    <col min="4" max="4" width="4.7109375" style="1" customWidth="1"/>
    <col min="5" max="5" width="11.85546875" style="1" customWidth="1"/>
    <col min="6" max="6" width="13.42578125" style="1" customWidth="1"/>
    <col min="7" max="7" width="3.7109375" style="1" customWidth="1"/>
    <col min="8" max="8" width="8.7109375" style="1" customWidth="1"/>
    <col min="9" max="9" width="14.28515625" style="1" customWidth="1"/>
    <col min="10" max="16384" width="9.140625" style="1"/>
  </cols>
  <sheetData>
    <row r="1" spans="1:9" s="2" customFormat="1" ht="27" customHeight="1" x14ac:dyDescent="0.2">
      <c r="A1" s="3" t="s">
        <v>51</v>
      </c>
    </row>
    <row r="2" spans="1:9" s="2" customFormat="1" ht="15.75" customHeight="1" x14ac:dyDescent="0.2"/>
    <row r="3" spans="1:9" s="2" customFormat="1" ht="28.5" customHeight="1" x14ac:dyDescent="0.2">
      <c r="A3" s="16" t="s">
        <v>103</v>
      </c>
      <c r="B3" s="16"/>
      <c r="C3" s="16"/>
      <c r="D3" s="16"/>
      <c r="E3" s="16"/>
      <c r="F3" s="16"/>
      <c r="G3" s="16"/>
      <c r="H3" s="16"/>
      <c r="I3" s="16"/>
    </row>
    <row r="4" spans="1:9" s="2" customFormat="1" ht="20.25" x14ac:dyDescent="0.2">
      <c r="A4" s="270" t="s">
        <v>369</v>
      </c>
      <c r="B4" s="270"/>
      <c r="C4" s="270"/>
      <c r="D4" s="270"/>
      <c r="E4" s="270"/>
      <c r="F4" s="270"/>
      <c r="G4" s="270"/>
      <c r="H4" s="270"/>
      <c r="I4" s="270"/>
    </row>
    <row r="5" spans="1:9" s="2" customFormat="1" ht="24.75" customHeight="1" x14ac:dyDescent="0.2">
      <c r="A5" s="270"/>
      <c r="B5" s="270"/>
      <c r="C5" s="270"/>
      <c r="D5" s="270"/>
      <c r="E5" s="270"/>
      <c r="F5" s="270"/>
      <c r="G5" s="270"/>
      <c r="H5" s="270"/>
      <c r="I5" s="270"/>
    </row>
    <row r="6" spans="1:9" s="2" customFormat="1" ht="28.5" customHeight="1" x14ac:dyDescent="0.2">
      <c r="A6" s="17"/>
      <c r="B6" s="16"/>
      <c r="C6" s="16"/>
      <c r="D6" s="16"/>
      <c r="E6" s="16"/>
      <c r="F6" s="16"/>
      <c r="G6" s="16"/>
      <c r="H6" s="273" t="s">
        <v>15</v>
      </c>
      <c r="I6" s="273"/>
    </row>
    <row r="7" spans="1:9" s="2" customFormat="1" ht="28.5" customHeight="1" x14ac:dyDescent="0.2">
      <c r="A7" s="19" t="s">
        <v>6</v>
      </c>
      <c r="B7" s="16"/>
      <c r="C7" s="16"/>
      <c r="D7" s="16"/>
      <c r="E7" s="16"/>
      <c r="F7" s="16"/>
      <c r="G7" s="16"/>
      <c r="H7" s="274" t="s">
        <v>260</v>
      </c>
      <c r="I7" s="274"/>
    </row>
    <row r="8" spans="1:9" s="2" customFormat="1" ht="28.5" customHeight="1" x14ac:dyDescent="0.2">
      <c r="A8" s="19" t="s">
        <v>7</v>
      </c>
      <c r="B8" s="16"/>
      <c r="C8" s="16"/>
      <c r="D8" s="16"/>
      <c r="E8" s="16"/>
      <c r="F8" s="16"/>
      <c r="G8" s="16"/>
      <c r="H8" s="272" t="s">
        <v>261</v>
      </c>
      <c r="I8" s="272"/>
    </row>
    <row r="9" spans="1:9" s="2" customFormat="1" ht="28.5" customHeight="1" x14ac:dyDescent="0.2">
      <c r="A9" s="19"/>
      <c r="B9" s="16" t="s">
        <v>104</v>
      </c>
      <c r="C9" s="16"/>
      <c r="D9" s="16"/>
      <c r="E9" s="16"/>
      <c r="F9" s="16"/>
      <c r="G9" s="16"/>
      <c r="H9" s="271">
        <v>3</v>
      </c>
      <c r="I9" s="272"/>
    </row>
    <row r="10" spans="1:9" s="2" customFormat="1" ht="28.5" customHeight="1" x14ac:dyDescent="0.2">
      <c r="A10" s="19" t="s">
        <v>8</v>
      </c>
      <c r="B10" s="16"/>
      <c r="C10" s="16"/>
      <c r="D10" s="16"/>
      <c r="E10" s="16"/>
      <c r="F10" s="16"/>
      <c r="G10" s="16"/>
      <c r="H10" s="272" t="s">
        <v>262</v>
      </c>
      <c r="I10" s="272"/>
    </row>
    <row r="11" spans="1:9" s="2" customFormat="1" ht="28.5" customHeight="1" x14ac:dyDescent="0.2">
      <c r="A11" s="19" t="s">
        <v>105</v>
      </c>
      <c r="B11" s="16"/>
      <c r="C11" s="16"/>
      <c r="D11" s="16"/>
      <c r="E11" s="16"/>
      <c r="F11" s="16"/>
      <c r="G11" s="16"/>
      <c r="H11" s="272"/>
      <c r="I11" s="272"/>
    </row>
    <row r="12" spans="1:9" s="2" customFormat="1" ht="28.5" customHeight="1" x14ac:dyDescent="0.2">
      <c r="A12" s="20" t="s">
        <v>106</v>
      </c>
      <c r="B12" s="16"/>
      <c r="C12" s="16"/>
      <c r="D12" s="16"/>
      <c r="E12" s="16"/>
      <c r="F12" s="16"/>
      <c r="G12" s="16"/>
      <c r="H12" s="271">
        <v>5</v>
      </c>
      <c r="I12" s="272"/>
    </row>
    <row r="13" spans="1:9" s="2" customFormat="1" ht="28.5" customHeight="1" x14ac:dyDescent="0.2">
      <c r="A13" s="20" t="s">
        <v>9</v>
      </c>
      <c r="B13" s="16"/>
      <c r="C13" s="16"/>
      <c r="D13" s="16"/>
      <c r="E13" s="16"/>
      <c r="F13" s="16"/>
      <c r="G13" s="16"/>
      <c r="H13" s="271">
        <v>5</v>
      </c>
      <c r="I13" s="272"/>
    </row>
    <row r="14" spans="1:9" s="2" customFormat="1" ht="28.5" customHeight="1" x14ac:dyDescent="0.2">
      <c r="A14" s="20" t="s">
        <v>10</v>
      </c>
      <c r="B14" s="16"/>
      <c r="C14" s="16"/>
      <c r="D14" s="16"/>
      <c r="E14" s="16"/>
      <c r="F14" s="16"/>
      <c r="G14" s="16"/>
      <c r="H14" s="272" t="s">
        <v>263</v>
      </c>
      <c r="I14" s="272"/>
    </row>
    <row r="15" spans="1:9" s="2" customFormat="1" ht="28.5" customHeight="1" x14ac:dyDescent="0.2">
      <c r="A15" s="20" t="s">
        <v>11</v>
      </c>
      <c r="B15" s="16"/>
      <c r="C15" s="16"/>
      <c r="D15" s="16"/>
      <c r="E15" s="16"/>
      <c r="F15" s="16"/>
      <c r="G15" s="16"/>
      <c r="H15" s="272" t="s">
        <v>270</v>
      </c>
      <c r="I15" s="272"/>
    </row>
    <row r="16" spans="1:9" s="2" customFormat="1" ht="28.5" customHeight="1" x14ac:dyDescent="0.2">
      <c r="A16" s="17"/>
      <c r="B16" s="16"/>
      <c r="C16" s="16"/>
      <c r="D16" s="16"/>
      <c r="E16" s="16"/>
      <c r="F16" s="16"/>
      <c r="G16" s="16"/>
      <c r="H16" s="16"/>
      <c r="I16" s="16"/>
    </row>
    <row r="17" spans="1:9" s="2" customFormat="1" ht="26.25" customHeight="1" x14ac:dyDescent="0.2">
      <c r="A17" s="270" t="s">
        <v>370</v>
      </c>
      <c r="B17" s="270"/>
      <c r="C17" s="270"/>
      <c r="D17" s="270"/>
      <c r="E17" s="270"/>
      <c r="F17" s="270"/>
      <c r="G17" s="270"/>
      <c r="H17" s="270"/>
      <c r="I17" s="270"/>
    </row>
    <row r="18" spans="1:9" s="2" customFormat="1" ht="21.75" customHeight="1" x14ac:dyDescent="0.2">
      <c r="A18" s="270"/>
      <c r="B18" s="270"/>
      <c r="C18" s="270"/>
      <c r="D18" s="270"/>
      <c r="E18" s="270"/>
      <c r="F18" s="270"/>
      <c r="G18" s="270"/>
      <c r="H18" s="270"/>
      <c r="I18" s="270"/>
    </row>
    <row r="19" spans="1:9" s="2" customFormat="1" ht="27" customHeight="1" x14ac:dyDescent="0.2">
      <c r="A19" s="273" t="s">
        <v>12</v>
      </c>
      <c r="B19" s="273"/>
      <c r="C19" s="273"/>
      <c r="D19" s="21"/>
      <c r="E19" s="273" t="s">
        <v>13</v>
      </c>
      <c r="F19" s="273"/>
      <c r="G19" s="21"/>
      <c r="H19" s="273" t="s">
        <v>271</v>
      </c>
      <c r="I19" s="273"/>
    </row>
    <row r="20" spans="1:9" s="2" customFormat="1" ht="45.75" customHeight="1" x14ac:dyDescent="0.2">
      <c r="A20" s="277" t="s">
        <v>371</v>
      </c>
      <c r="B20" s="277"/>
      <c r="C20" s="277"/>
      <c r="D20" s="17"/>
      <c r="E20" s="275" t="s">
        <v>121</v>
      </c>
      <c r="F20" s="275"/>
      <c r="G20" s="16"/>
      <c r="H20" s="16"/>
      <c r="I20" s="16"/>
    </row>
    <row r="21" spans="1:9" s="2" customFormat="1" ht="45.75" customHeight="1" x14ac:dyDescent="0.2">
      <c r="A21" s="275" t="s">
        <v>372</v>
      </c>
      <c r="B21" s="275"/>
      <c r="C21" s="275"/>
      <c r="D21" s="17"/>
      <c r="E21" s="275" t="s">
        <v>122</v>
      </c>
      <c r="F21" s="275"/>
      <c r="G21" s="16"/>
      <c r="H21" s="16"/>
      <c r="I21" s="16"/>
    </row>
    <row r="22" spans="1:9" s="2" customFormat="1" ht="45.75" customHeight="1" x14ac:dyDescent="0.2">
      <c r="A22" s="275" t="s">
        <v>373</v>
      </c>
      <c r="B22" s="275"/>
      <c r="C22" s="275"/>
      <c r="D22" s="17"/>
      <c r="E22" s="275" t="s">
        <v>276</v>
      </c>
      <c r="F22" s="275"/>
      <c r="G22" s="16"/>
      <c r="H22" s="16"/>
      <c r="I22" s="16"/>
    </row>
    <row r="23" spans="1:9" s="2" customFormat="1" ht="42.75" customHeight="1" x14ac:dyDescent="0.2">
      <c r="A23" s="19"/>
      <c r="B23" s="19"/>
      <c r="C23" s="19"/>
      <c r="D23" s="17"/>
      <c r="E23" s="41"/>
      <c r="F23" s="41"/>
      <c r="G23" s="16"/>
      <c r="H23" s="16"/>
      <c r="I23" s="16"/>
    </row>
    <row r="24" spans="1:9" s="2" customFormat="1" ht="28.5" customHeight="1" x14ac:dyDescent="0.2">
      <c r="A24" s="276">
        <v>1</v>
      </c>
      <c r="B24" s="276"/>
      <c r="C24" s="276"/>
      <c r="D24" s="276"/>
      <c r="E24" s="276"/>
      <c r="F24" s="276"/>
      <c r="G24" s="276"/>
      <c r="H24" s="276"/>
      <c r="I24" s="276"/>
    </row>
    <row r="25" spans="1:9" x14ac:dyDescent="0.2">
      <c r="A25" s="4"/>
    </row>
    <row r="26" spans="1:9" x14ac:dyDescent="0.2">
      <c r="A26" s="4"/>
    </row>
    <row r="27" spans="1:9" x14ac:dyDescent="0.2">
      <c r="A27" s="4"/>
    </row>
  </sheetData>
  <mergeCells count="22">
    <mergeCell ref="A22:C22"/>
    <mergeCell ref="E22:F22"/>
    <mergeCell ref="A24:I24"/>
    <mergeCell ref="H11:I11"/>
    <mergeCell ref="H12:I12"/>
    <mergeCell ref="A19:C19"/>
    <mergeCell ref="A20:C20"/>
    <mergeCell ref="A21:C21"/>
    <mergeCell ref="E19:F19"/>
    <mergeCell ref="H15:I15"/>
    <mergeCell ref="E21:F21"/>
    <mergeCell ref="E20:F20"/>
    <mergeCell ref="H13:I13"/>
    <mergeCell ref="H14:I14"/>
    <mergeCell ref="A4:I5"/>
    <mergeCell ref="H9:I9"/>
    <mergeCell ref="H19:I19"/>
    <mergeCell ref="A17:I18"/>
    <mergeCell ref="H6:I6"/>
    <mergeCell ref="H7:I7"/>
    <mergeCell ref="H10:I10"/>
    <mergeCell ref="H8:I8"/>
  </mergeCells>
  <phoneticPr fontId="0" type="noConversion"/>
  <printOptions horizontalCentered="1"/>
  <pageMargins left="0.59055118110236227" right="0.59055118110236227" top="1.4566929133858268" bottom="0.39370078740157483" header="0.39370078740157483" footer="0.51181102362204722"/>
  <pageSetup paperSize="9" orientation="portrait" r:id="rId1"/>
  <headerFooter alignWithMargins="0">
    <oddHeader>&amp;C&amp;"B Mitra,Bold"&amp;16&amp;Uشرکت شهاب صنعت ایساتیس (سهامی خاص)
صورتهای مالی
برای سال مالی منتهی به 29 اسفند ماه 1389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rightToLeft="1" zoomScaleSheetLayoutView="85" workbookViewId="0">
      <selection activeCell="E10" sqref="E10"/>
    </sheetView>
  </sheetViews>
  <sheetFormatPr defaultRowHeight="22.5" x14ac:dyDescent="0.2"/>
  <cols>
    <col min="1" max="1" width="7.7109375" style="71" customWidth="1"/>
    <col min="2" max="2" width="12" style="71" customWidth="1"/>
    <col min="3" max="3" width="10" style="71" bestFit="1" customWidth="1"/>
    <col min="4" max="4" width="3.7109375" style="71" bestFit="1" customWidth="1"/>
    <col min="5" max="5" width="12.5703125" style="71" bestFit="1" customWidth="1"/>
    <col min="6" max="6" width="15.28515625" style="71" customWidth="1"/>
    <col min="7" max="7" width="14.28515625" style="71" customWidth="1"/>
    <col min="8" max="8" width="16.7109375" style="71" hidden="1" customWidth="1"/>
    <col min="9" max="9" width="2" style="71" customWidth="1"/>
    <col min="10" max="10" width="13.5703125" style="71" customWidth="1"/>
    <col min="11" max="11" width="15.5703125" style="71" hidden="1" customWidth="1"/>
    <col min="12" max="12" width="11.5703125" style="71" customWidth="1"/>
    <col min="13" max="13" width="15.28515625" style="73" bestFit="1" customWidth="1"/>
    <col min="14" max="14" width="13.28515625" style="73" customWidth="1"/>
    <col min="15" max="15" width="21.85546875" style="73" bestFit="1" customWidth="1"/>
    <col min="16" max="16" width="20.28515625" style="73" bestFit="1" customWidth="1"/>
    <col min="17" max="17" width="21.85546875" style="73" bestFit="1" customWidth="1"/>
    <col min="18" max="16384" width="9.140625" style="73"/>
  </cols>
  <sheetData>
    <row r="1" spans="1:14" ht="23.1" customHeight="1" x14ac:dyDescent="0.2">
      <c r="A1" s="69" t="s">
        <v>355</v>
      </c>
      <c r="B1" s="70" t="s">
        <v>42</v>
      </c>
      <c r="C1" s="69"/>
      <c r="H1" s="72"/>
      <c r="J1" s="73"/>
    </row>
    <row r="2" spans="1:14" s="77" customFormat="1" ht="23.1" customHeight="1" x14ac:dyDescent="0.2">
      <c r="A2" s="69"/>
      <c r="B2" s="74" t="s">
        <v>266</v>
      </c>
      <c r="C2" s="74"/>
      <c r="D2" s="75"/>
      <c r="E2" s="75"/>
      <c r="F2" s="76"/>
      <c r="G2" s="75"/>
      <c r="H2" s="76"/>
      <c r="I2" s="75"/>
      <c r="J2" s="76"/>
      <c r="K2" s="76"/>
      <c r="L2" s="76"/>
      <c r="M2" s="76"/>
    </row>
    <row r="3" spans="1:14" s="77" customFormat="1" ht="23.1" customHeight="1" x14ac:dyDescent="0.2">
      <c r="A3" s="69"/>
      <c r="B3" s="74"/>
      <c r="C3" s="74" t="s">
        <v>155</v>
      </c>
      <c r="D3" s="75"/>
      <c r="E3" s="75"/>
      <c r="F3" s="76"/>
      <c r="G3" s="75"/>
      <c r="H3" s="76"/>
      <c r="I3" s="75"/>
      <c r="J3" s="176" t="s">
        <v>200</v>
      </c>
      <c r="K3" s="76"/>
      <c r="L3" s="76"/>
      <c r="M3" s="76"/>
    </row>
    <row r="4" spans="1:14" s="77" customFormat="1" ht="23.1" customHeight="1" x14ac:dyDescent="0.2">
      <c r="A4" s="69"/>
      <c r="B4" s="74"/>
      <c r="C4" s="74"/>
      <c r="E4" s="75"/>
      <c r="G4" s="82">
        <v>1389</v>
      </c>
      <c r="H4" s="82">
        <v>1389</v>
      </c>
      <c r="I4" s="83"/>
      <c r="J4" s="82">
        <v>1388</v>
      </c>
      <c r="K4" s="82">
        <v>1388</v>
      </c>
      <c r="L4" s="76"/>
      <c r="M4" s="76"/>
    </row>
    <row r="5" spans="1:14" s="77" customFormat="1" ht="20.100000000000001" customHeight="1" x14ac:dyDescent="0.55000000000000004">
      <c r="B5" s="74"/>
      <c r="C5" s="74"/>
      <c r="E5" s="75"/>
      <c r="G5" s="78" t="s">
        <v>132</v>
      </c>
      <c r="H5" s="78" t="s">
        <v>120</v>
      </c>
      <c r="I5" s="78"/>
      <c r="J5" s="78" t="s">
        <v>132</v>
      </c>
      <c r="K5" s="78" t="s">
        <v>120</v>
      </c>
      <c r="L5" s="75"/>
      <c r="M5" s="75"/>
    </row>
    <row r="6" spans="1:14" s="77" customFormat="1" ht="21" customHeight="1" x14ac:dyDescent="0.2">
      <c r="B6" s="74" t="s">
        <v>248</v>
      </c>
      <c r="C6" s="74"/>
      <c r="E6" s="75"/>
      <c r="G6" s="45">
        <v>33954</v>
      </c>
      <c r="H6" s="74"/>
      <c r="I6" s="74"/>
      <c r="J6" s="45">
        <v>24344</v>
      </c>
      <c r="K6" s="74"/>
      <c r="L6" s="75"/>
      <c r="M6" s="75"/>
    </row>
    <row r="7" spans="1:14" s="77" customFormat="1" ht="21" customHeight="1" x14ac:dyDescent="0.2">
      <c r="B7" s="74" t="s">
        <v>97</v>
      </c>
      <c r="C7" s="74"/>
      <c r="E7" s="75"/>
      <c r="G7" s="45">
        <v>15792</v>
      </c>
      <c r="H7" s="74"/>
      <c r="I7" s="74"/>
      <c r="J7" s="45">
        <v>19862</v>
      </c>
      <c r="K7" s="74"/>
      <c r="L7" s="75"/>
      <c r="M7" s="75"/>
    </row>
    <row r="8" spans="1:14" ht="21" customHeight="1" x14ac:dyDescent="0.2">
      <c r="A8" s="73"/>
      <c r="B8" s="74" t="s">
        <v>215</v>
      </c>
      <c r="C8" s="77"/>
      <c r="D8" s="73"/>
      <c r="E8" s="73"/>
      <c r="F8" s="73"/>
      <c r="G8" s="45">
        <v>5077</v>
      </c>
      <c r="H8" s="80"/>
      <c r="I8" s="74"/>
      <c r="J8" s="45">
        <v>5864</v>
      </c>
      <c r="K8" s="80">
        <v>1048767123</v>
      </c>
    </row>
    <row r="9" spans="1:14" ht="21" customHeight="1" x14ac:dyDescent="0.2">
      <c r="A9" s="73"/>
      <c r="B9" s="74" t="s">
        <v>309</v>
      </c>
      <c r="C9" s="77"/>
      <c r="D9" s="73"/>
      <c r="E9" s="73"/>
      <c r="F9" s="73"/>
      <c r="G9" s="234">
        <v>0</v>
      </c>
      <c r="H9" s="74"/>
      <c r="I9" s="74"/>
      <c r="J9" s="58">
        <f>1125+10</f>
        <v>1135</v>
      </c>
      <c r="K9" s="74"/>
    </row>
    <row r="10" spans="1:14" ht="21.75" customHeight="1" x14ac:dyDescent="0.2">
      <c r="A10" s="73"/>
      <c r="B10" s="79"/>
      <c r="C10" s="77"/>
      <c r="D10" s="73"/>
      <c r="E10" s="73"/>
      <c r="F10" s="73"/>
      <c r="G10" s="45">
        <f>SUM(G6:G9)</f>
        <v>54823</v>
      </c>
      <c r="H10" s="74">
        <f>SUM(H6:H8)</f>
        <v>0</v>
      </c>
      <c r="I10" s="74"/>
      <c r="J10" s="45">
        <f>SUM(J6:J9)</f>
        <v>51205</v>
      </c>
      <c r="K10" s="74">
        <f>SUM(K6:K8)</f>
        <v>1048767123</v>
      </c>
    </row>
    <row r="11" spans="1:14" ht="24" customHeight="1" x14ac:dyDescent="0.2">
      <c r="A11" s="73"/>
      <c r="B11" s="79" t="s">
        <v>156</v>
      </c>
      <c r="C11" s="77"/>
      <c r="D11" s="73"/>
      <c r="E11" s="73"/>
      <c r="F11" s="73"/>
      <c r="G11" s="80">
        <v>-3214</v>
      </c>
      <c r="H11" s="74"/>
      <c r="I11" s="74"/>
      <c r="J11" s="80">
        <v>-4515</v>
      </c>
      <c r="K11" s="74">
        <v>-233753424</v>
      </c>
    </row>
    <row r="12" spans="1:14" ht="23.25" customHeight="1" x14ac:dyDescent="0.2">
      <c r="A12" s="73"/>
      <c r="B12" s="79"/>
      <c r="C12" s="77"/>
      <c r="D12" s="73"/>
      <c r="E12" s="73"/>
      <c r="F12" s="73"/>
      <c r="G12" s="45">
        <f>SUM(G10:G11)</f>
        <v>51609</v>
      </c>
      <c r="H12" s="74"/>
      <c r="I12" s="74"/>
      <c r="J12" s="45">
        <f>SUM(J10:J11)</f>
        <v>46690</v>
      </c>
      <c r="K12" s="74"/>
    </row>
    <row r="13" spans="1:14" ht="25.5" customHeight="1" x14ac:dyDescent="0.2">
      <c r="A13" s="73"/>
      <c r="B13" s="79" t="s">
        <v>249</v>
      </c>
      <c r="C13" s="77"/>
      <c r="D13" s="73"/>
      <c r="E13" s="73"/>
      <c r="F13" s="73"/>
      <c r="G13" s="74">
        <v>-373</v>
      </c>
      <c r="H13" s="74"/>
      <c r="I13" s="74"/>
      <c r="J13" s="74">
        <v>-4569</v>
      </c>
      <c r="K13" s="74"/>
    </row>
    <row r="14" spans="1:14" ht="21" customHeight="1" thickBot="1" x14ac:dyDescent="0.25">
      <c r="A14" s="73"/>
      <c r="B14" s="79" t="s">
        <v>250</v>
      </c>
      <c r="C14" s="77"/>
      <c r="D14" s="73"/>
      <c r="E14" s="73"/>
      <c r="F14" s="73"/>
      <c r="G14" s="46">
        <f>SUM(G12:G13)</f>
        <v>51236</v>
      </c>
      <c r="H14" s="81"/>
      <c r="I14" s="79"/>
      <c r="J14" s="46">
        <f>SUM(J12:J13)</f>
        <v>42121</v>
      </c>
      <c r="K14" s="81">
        <f>SUM(K10:K11)</f>
        <v>815013699</v>
      </c>
      <c r="L14" s="45"/>
    </row>
    <row r="15" spans="1:14" ht="23.25" customHeight="1" thickTop="1" x14ac:dyDescent="0.2">
      <c r="A15" s="73"/>
      <c r="B15" s="79"/>
      <c r="C15" s="77" t="s">
        <v>157</v>
      </c>
      <c r="D15" s="73"/>
      <c r="E15" s="73"/>
      <c r="F15" s="73"/>
      <c r="G15" s="72"/>
      <c r="H15" s="72"/>
      <c r="I15" s="72"/>
      <c r="J15" s="73"/>
    </row>
    <row r="16" spans="1:14" ht="21.75" customHeight="1" x14ac:dyDescent="0.2">
      <c r="A16" s="77"/>
      <c r="B16" s="79"/>
      <c r="C16" s="77"/>
      <c r="D16" s="77"/>
      <c r="E16" s="77"/>
      <c r="F16" s="77"/>
      <c r="G16" s="82">
        <v>1389</v>
      </c>
      <c r="H16" s="82">
        <v>1389</v>
      </c>
      <c r="I16" s="83"/>
      <c r="J16" s="82">
        <v>1388</v>
      </c>
      <c r="K16" s="82">
        <v>1388</v>
      </c>
      <c r="L16" s="76"/>
      <c r="M16" s="77"/>
      <c r="N16" s="77"/>
    </row>
    <row r="17" spans="1:14" ht="23.25" customHeight="1" x14ac:dyDescent="0.55000000000000004">
      <c r="A17" s="77"/>
      <c r="B17" s="79"/>
      <c r="C17" s="77"/>
      <c r="D17" s="77"/>
      <c r="E17" s="77"/>
      <c r="F17" s="77"/>
      <c r="G17" s="78" t="s">
        <v>132</v>
      </c>
      <c r="H17" s="78" t="s">
        <v>120</v>
      </c>
      <c r="I17" s="78"/>
      <c r="J17" s="78" t="s">
        <v>132</v>
      </c>
      <c r="K17" s="78" t="s">
        <v>120</v>
      </c>
      <c r="L17" s="76"/>
      <c r="M17" s="77"/>
      <c r="N17" s="77"/>
    </row>
    <row r="18" spans="1:14" ht="24" customHeight="1" x14ac:dyDescent="0.2">
      <c r="A18" s="77"/>
      <c r="B18" s="77" t="s">
        <v>138</v>
      </c>
      <c r="C18" s="77"/>
      <c r="D18" s="77"/>
      <c r="E18" s="77"/>
      <c r="F18" s="77"/>
      <c r="G18" s="45">
        <f>11109+832</f>
        <v>11941</v>
      </c>
      <c r="H18" s="183"/>
      <c r="I18" s="74"/>
      <c r="J18" s="45">
        <f>46081-391</f>
        <v>45690</v>
      </c>
      <c r="K18" s="74">
        <f>4452690411-144986301-43941000</f>
        <v>4263763110</v>
      </c>
      <c r="L18" s="77"/>
      <c r="M18" s="77"/>
      <c r="N18" s="77"/>
    </row>
    <row r="19" spans="1:14" ht="24" customHeight="1" x14ac:dyDescent="0.2">
      <c r="A19" s="76"/>
      <c r="B19" s="76" t="s">
        <v>158</v>
      </c>
      <c r="C19" s="76"/>
      <c r="D19" s="76"/>
      <c r="E19" s="76"/>
      <c r="F19" s="76"/>
      <c r="G19" s="45">
        <v>35168</v>
      </c>
      <c r="H19" s="183"/>
      <c r="I19" s="74"/>
      <c r="J19" s="183">
        <v>0</v>
      </c>
      <c r="K19" s="74">
        <f>960000000</f>
        <v>960000000</v>
      </c>
      <c r="L19" s="76"/>
      <c r="M19" s="77"/>
      <c r="N19" s="77"/>
    </row>
    <row r="20" spans="1:14" ht="24" customHeight="1" x14ac:dyDescent="0.2">
      <c r="A20" s="76"/>
      <c r="B20" s="76" t="s">
        <v>310</v>
      </c>
      <c r="C20" s="76"/>
      <c r="D20" s="76"/>
      <c r="E20" s="76"/>
      <c r="F20" s="76"/>
      <c r="G20" s="45">
        <v>4500</v>
      </c>
      <c r="H20" s="74"/>
      <c r="I20" s="74"/>
      <c r="J20" s="183">
        <v>0</v>
      </c>
      <c r="K20" s="183">
        <v>0</v>
      </c>
      <c r="L20" s="76"/>
      <c r="M20" s="77"/>
      <c r="N20" s="77"/>
    </row>
    <row r="21" spans="1:14" ht="24" customHeight="1" x14ac:dyDescent="0.2">
      <c r="A21" s="76"/>
      <c r="B21" s="76" t="s">
        <v>311</v>
      </c>
      <c r="C21" s="76"/>
      <c r="D21" s="76"/>
      <c r="E21" s="76"/>
      <c r="F21" s="76"/>
      <c r="G21" s="183">
        <v>0</v>
      </c>
      <c r="H21" s="74"/>
      <c r="I21" s="74"/>
      <c r="J21" s="45">
        <v>1000</v>
      </c>
      <c r="K21" s="183"/>
      <c r="L21" s="76"/>
      <c r="M21" s="77"/>
      <c r="N21" s="77"/>
    </row>
    <row r="22" spans="1:14" ht="20.25" customHeight="1" thickBot="1" x14ac:dyDescent="0.25">
      <c r="A22" s="76"/>
      <c r="B22" s="76"/>
      <c r="C22" s="76"/>
      <c r="D22" s="76"/>
      <c r="E22" s="76"/>
      <c r="F22" s="76"/>
      <c r="G22" s="46">
        <f>SUM(G18:G21)</f>
        <v>51609</v>
      </c>
      <c r="H22" s="81">
        <f>SUM(H18:H21)</f>
        <v>0</v>
      </c>
      <c r="I22" s="79"/>
      <c r="J22" s="46">
        <f>SUM(J18:J21)</f>
        <v>46690</v>
      </c>
      <c r="K22" s="81">
        <f>SUM(K18:K21)</f>
        <v>5223763110</v>
      </c>
      <c r="L22" s="76"/>
      <c r="M22" s="77"/>
      <c r="N22" s="77"/>
    </row>
    <row r="23" spans="1:14" ht="20.25" customHeight="1" thickTop="1" x14ac:dyDescent="0.2">
      <c r="A23" s="76"/>
      <c r="B23" s="76"/>
      <c r="C23" s="76"/>
      <c r="D23" s="76"/>
      <c r="E23" s="76"/>
      <c r="F23" s="76"/>
      <c r="G23" s="74"/>
      <c r="H23" s="74"/>
      <c r="I23" s="79"/>
      <c r="J23" s="74"/>
      <c r="K23" s="74"/>
      <c r="L23" s="76"/>
      <c r="M23" s="77"/>
      <c r="N23" s="77"/>
    </row>
    <row r="24" spans="1:14" x14ac:dyDescent="0.2">
      <c r="A24" s="76"/>
      <c r="B24" s="308" t="s">
        <v>274</v>
      </c>
      <c r="C24" s="308"/>
      <c r="D24" s="308"/>
      <c r="E24" s="308"/>
      <c r="F24" s="308"/>
      <c r="G24" s="308"/>
      <c r="H24" s="308"/>
      <c r="I24" s="308"/>
      <c r="J24" s="308"/>
      <c r="K24" s="76"/>
      <c r="L24" s="76"/>
      <c r="M24" s="77"/>
      <c r="N24" s="77"/>
    </row>
    <row r="25" spans="1:14" x14ac:dyDescent="0.2">
      <c r="A25" s="76"/>
      <c r="B25" s="76"/>
      <c r="C25" s="76"/>
      <c r="D25" s="76"/>
      <c r="E25" s="76"/>
      <c r="F25" s="76"/>
      <c r="G25" s="76"/>
      <c r="H25" s="76"/>
      <c r="I25" s="76"/>
      <c r="J25" s="76"/>
      <c r="K25" s="76"/>
      <c r="L25" s="76"/>
      <c r="M25" s="77"/>
      <c r="N25" s="77"/>
    </row>
    <row r="26" spans="1:14" x14ac:dyDescent="0.2">
      <c r="A26" s="76"/>
      <c r="B26" s="76"/>
      <c r="C26" s="76"/>
      <c r="D26" s="76"/>
      <c r="E26" s="76"/>
      <c r="F26" s="76"/>
      <c r="G26" s="76"/>
      <c r="H26" s="76"/>
      <c r="I26" s="76"/>
      <c r="J26" s="76"/>
      <c r="K26" s="76"/>
      <c r="L26" s="76"/>
      <c r="M26" s="77"/>
      <c r="N26" s="77"/>
    </row>
    <row r="27" spans="1:14" x14ac:dyDescent="0.2">
      <c r="A27" s="76"/>
      <c r="B27" s="76"/>
      <c r="C27" s="76"/>
      <c r="D27" s="76"/>
      <c r="E27" s="76"/>
      <c r="F27" s="76"/>
      <c r="G27" s="76"/>
      <c r="H27" s="76"/>
      <c r="I27" s="76"/>
      <c r="J27" s="76"/>
      <c r="K27" s="76"/>
      <c r="L27" s="76"/>
      <c r="M27" s="77"/>
      <c r="N27" s="77"/>
    </row>
    <row r="28" spans="1:14" x14ac:dyDescent="0.2">
      <c r="A28" s="76"/>
      <c r="B28" s="76"/>
      <c r="C28" s="76"/>
      <c r="D28" s="76"/>
      <c r="E28" s="76"/>
      <c r="F28" s="76"/>
      <c r="G28" s="76"/>
      <c r="H28" s="76"/>
      <c r="I28" s="76"/>
      <c r="J28" s="76"/>
      <c r="K28" s="76"/>
      <c r="L28" s="76"/>
      <c r="M28" s="77"/>
      <c r="N28" s="77"/>
    </row>
    <row r="29" spans="1:14" x14ac:dyDescent="0.2">
      <c r="A29" s="76"/>
      <c r="B29" s="76"/>
      <c r="C29" s="76"/>
      <c r="D29" s="76"/>
      <c r="E29" s="76"/>
      <c r="F29" s="76"/>
      <c r="G29" s="76"/>
      <c r="H29" s="76"/>
      <c r="I29" s="76"/>
      <c r="J29" s="76"/>
      <c r="K29" s="76"/>
      <c r="L29" s="76"/>
      <c r="M29" s="77"/>
      <c r="N29" s="77"/>
    </row>
    <row r="30" spans="1:14" x14ac:dyDescent="0.2">
      <c r="A30" s="307">
        <v>16</v>
      </c>
      <c r="B30" s="307"/>
      <c r="C30" s="307"/>
      <c r="D30" s="307"/>
      <c r="E30" s="307"/>
      <c r="F30" s="307"/>
      <c r="G30" s="307"/>
      <c r="H30" s="307"/>
      <c r="I30" s="307"/>
      <c r="J30" s="307"/>
      <c r="K30" s="76"/>
      <c r="L30" s="76"/>
      <c r="M30" s="77"/>
      <c r="N30" s="77"/>
    </row>
    <row r="31" spans="1:14" x14ac:dyDescent="0.2">
      <c r="A31" s="76"/>
      <c r="B31" s="76"/>
      <c r="C31" s="76"/>
      <c r="D31" s="76"/>
      <c r="E31" s="76"/>
      <c r="F31" s="76"/>
      <c r="G31" s="76"/>
      <c r="H31" s="76"/>
      <c r="I31" s="76"/>
      <c r="J31" s="76"/>
      <c r="K31" s="76"/>
      <c r="L31" s="76"/>
      <c r="M31" s="77"/>
      <c r="N31" s="77"/>
    </row>
    <row r="32" spans="1:14" x14ac:dyDescent="0.2">
      <c r="A32" s="76"/>
      <c r="B32" s="76"/>
      <c r="C32" s="76"/>
      <c r="D32" s="76"/>
      <c r="E32" s="76"/>
      <c r="F32" s="76"/>
      <c r="G32" s="76"/>
      <c r="H32" s="76"/>
      <c r="I32" s="76"/>
      <c r="J32" s="76"/>
      <c r="K32" s="76"/>
      <c r="L32" s="76"/>
      <c r="M32" s="77"/>
      <c r="N32" s="77"/>
    </row>
    <row r="33" spans="1:14" x14ac:dyDescent="0.2">
      <c r="A33" s="76"/>
      <c r="B33" s="76"/>
      <c r="C33" s="76"/>
      <c r="D33" s="76"/>
      <c r="E33" s="76"/>
      <c r="F33" s="76"/>
      <c r="G33" s="76"/>
      <c r="H33" s="76"/>
      <c r="I33" s="76"/>
      <c r="J33" s="76"/>
      <c r="K33" s="76"/>
      <c r="L33" s="76"/>
      <c r="M33" s="77"/>
      <c r="N33" s="77"/>
    </row>
  </sheetData>
  <mergeCells count="2">
    <mergeCell ref="A30:J30"/>
    <mergeCell ref="B24:J24"/>
  </mergeCells>
  <printOptions horizontalCentered="1"/>
  <pageMargins left="0.59055118110236227" right="0.59055118110236227" top="1.3779527559055118" bottom="0.39370078740157483" header="0.39370078740157483" footer="0.51181102362204722"/>
  <pageSetup fitToHeight="2" orientation="portrait"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SheetLayoutView="85" workbookViewId="0">
      <selection activeCell="E10" sqref="E10"/>
    </sheetView>
  </sheetViews>
  <sheetFormatPr defaultRowHeight="22.5" x14ac:dyDescent="0.2"/>
  <cols>
    <col min="1" max="1" width="6" style="16" customWidth="1"/>
    <col min="2" max="2" width="33.140625" style="16" customWidth="1"/>
    <col min="3" max="3" width="24.85546875" style="16" customWidth="1"/>
    <col min="4" max="4" width="1.7109375" style="16" customWidth="1"/>
    <col min="5" max="5" width="11.140625" style="16" customWidth="1"/>
    <col min="6" max="6" width="2.28515625" style="16" customWidth="1"/>
    <col min="7" max="7" width="11.7109375" style="16" customWidth="1"/>
    <col min="8" max="8" width="11.5703125" style="16" customWidth="1"/>
    <col min="9" max="9" width="13.28515625" style="16" customWidth="1"/>
    <col min="10" max="12" width="9.140625" style="16"/>
    <col min="13" max="16384" width="9.140625" style="24"/>
  </cols>
  <sheetData>
    <row r="1" spans="1:12" ht="24" customHeight="1" x14ac:dyDescent="0.2">
      <c r="A1" s="44" t="s">
        <v>52</v>
      </c>
      <c r="B1" s="66" t="s">
        <v>212</v>
      </c>
      <c r="C1" s="24"/>
      <c r="D1" s="24"/>
      <c r="E1" s="24"/>
      <c r="F1" s="24"/>
      <c r="G1" s="24"/>
      <c r="H1" s="24"/>
      <c r="I1" s="24"/>
      <c r="J1" s="24"/>
      <c r="K1" s="24"/>
      <c r="L1" s="24"/>
    </row>
    <row r="2" spans="1:12" ht="24" customHeight="1" x14ac:dyDescent="0.6">
      <c r="A2" s="24"/>
      <c r="B2" s="197" t="s">
        <v>229</v>
      </c>
      <c r="C2" s="24"/>
      <c r="D2" s="24"/>
      <c r="E2" s="24"/>
      <c r="F2" s="24"/>
      <c r="G2" s="24"/>
      <c r="H2" s="24"/>
      <c r="I2" s="24"/>
      <c r="J2" s="24"/>
      <c r="K2" s="24"/>
      <c r="L2" s="24"/>
    </row>
    <row r="3" spans="1:12" ht="25.5" customHeight="1" x14ac:dyDescent="0.55000000000000004">
      <c r="A3" s="24"/>
      <c r="B3" s="195"/>
      <c r="C3" s="24"/>
      <c r="D3" s="24"/>
      <c r="E3" s="198">
        <v>1389</v>
      </c>
      <c r="F3" s="193"/>
      <c r="G3" s="198">
        <v>1388</v>
      </c>
      <c r="H3" s="24"/>
      <c r="I3" s="24"/>
      <c r="J3" s="24"/>
      <c r="K3" s="24"/>
      <c r="L3" s="24"/>
    </row>
    <row r="4" spans="1:12" ht="26.25" customHeight="1" x14ac:dyDescent="0.2">
      <c r="A4" s="23"/>
      <c r="B4" s="21"/>
      <c r="C4" s="21"/>
      <c r="D4" s="24"/>
      <c r="E4" s="199" t="s">
        <v>132</v>
      </c>
      <c r="F4" s="199"/>
      <c r="G4" s="199" t="s">
        <v>132</v>
      </c>
      <c r="H4" s="24"/>
      <c r="I4" s="24"/>
      <c r="J4" s="24"/>
      <c r="K4" s="24"/>
      <c r="L4" s="24"/>
    </row>
    <row r="5" spans="1:12" ht="26.25" customHeight="1" x14ac:dyDescent="0.2">
      <c r="A5" s="21"/>
      <c r="B5" s="23" t="s">
        <v>113</v>
      </c>
      <c r="C5" s="43"/>
      <c r="D5" s="64"/>
      <c r="E5" s="45">
        <v>2964</v>
      </c>
      <c r="F5" s="74"/>
      <c r="G5" s="45">
        <v>2413</v>
      </c>
      <c r="H5" s="24"/>
      <c r="I5" s="24"/>
      <c r="J5" s="24"/>
      <c r="K5" s="24"/>
      <c r="L5" s="24"/>
    </row>
    <row r="6" spans="1:12" ht="26.25" customHeight="1" x14ac:dyDescent="0.2">
      <c r="A6" s="21"/>
      <c r="B6" s="23" t="s">
        <v>233</v>
      </c>
      <c r="C6" s="43"/>
      <c r="D6" s="64"/>
      <c r="E6" s="74">
        <f>-(141+108)</f>
        <v>-249</v>
      </c>
      <c r="F6" s="74"/>
      <c r="G6" s="74">
        <f>-(59+13)</f>
        <v>-72</v>
      </c>
      <c r="H6" s="24"/>
      <c r="I6" s="24"/>
      <c r="J6" s="24"/>
      <c r="K6" s="24"/>
      <c r="L6" s="24"/>
    </row>
    <row r="7" spans="1:12" ht="26.25" customHeight="1" x14ac:dyDescent="0.2">
      <c r="A7" s="21"/>
      <c r="B7" s="23" t="s">
        <v>230</v>
      </c>
      <c r="C7" s="43"/>
      <c r="D7" s="64"/>
      <c r="E7" s="45">
        <f>784+108</f>
        <v>892</v>
      </c>
      <c r="F7" s="74"/>
      <c r="G7" s="45">
        <f>610+13</f>
        <v>623</v>
      </c>
      <c r="H7" s="24"/>
      <c r="I7" s="24"/>
      <c r="J7" s="24"/>
      <c r="K7" s="24"/>
      <c r="L7" s="24"/>
    </row>
    <row r="8" spans="1:12" ht="26.25" customHeight="1" thickBot="1" x14ac:dyDescent="0.25">
      <c r="A8" s="21"/>
      <c r="B8" s="23" t="s">
        <v>112</v>
      </c>
      <c r="C8" s="43"/>
      <c r="D8" s="64"/>
      <c r="E8" s="46">
        <f>SUM(E5:E7)</f>
        <v>3607</v>
      </c>
      <c r="F8" s="74"/>
      <c r="G8" s="46">
        <f>SUM(G5:G7)</f>
        <v>2964</v>
      </c>
      <c r="H8" s="24"/>
      <c r="I8" s="24"/>
      <c r="J8" s="24"/>
      <c r="K8" s="24"/>
      <c r="L8" s="24"/>
    </row>
    <row r="9" spans="1:12" ht="26.25" customHeight="1" thickTop="1" x14ac:dyDescent="0.2">
      <c r="A9" s="24"/>
      <c r="B9" s="24"/>
      <c r="C9" s="43"/>
      <c r="D9" s="64"/>
      <c r="E9" s="43"/>
      <c r="F9" s="43"/>
      <c r="G9" s="43"/>
    </row>
    <row r="10" spans="1:12" s="87" customFormat="1" ht="30" customHeight="1" x14ac:dyDescent="0.2">
      <c r="A10" s="44" t="s">
        <v>41</v>
      </c>
      <c r="B10" s="66" t="s">
        <v>205</v>
      </c>
      <c r="C10" s="16"/>
      <c r="D10" s="16"/>
      <c r="E10" s="16"/>
      <c r="F10" s="16"/>
      <c r="G10" s="16"/>
      <c r="H10" s="86"/>
      <c r="I10" s="86"/>
      <c r="J10" s="86"/>
      <c r="K10" s="86"/>
      <c r="L10" s="86"/>
    </row>
    <row r="11" spans="1:12" s="87" customFormat="1" ht="30" customHeight="1" x14ac:dyDescent="0.55000000000000004">
      <c r="A11" s="16"/>
      <c r="B11" s="88" t="s">
        <v>312</v>
      </c>
      <c r="C11" s="16"/>
      <c r="D11" s="16"/>
      <c r="E11" s="16"/>
      <c r="F11" s="16"/>
      <c r="G11" s="16"/>
      <c r="H11" s="86"/>
      <c r="I11" s="86"/>
      <c r="J11" s="86"/>
      <c r="K11" s="86"/>
      <c r="L11" s="86"/>
    </row>
    <row r="12" spans="1:12" s="87" customFormat="1" ht="30" customHeight="1" x14ac:dyDescent="0.55000000000000004">
      <c r="A12" s="16"/>
      <c r="B12" s="88"/>
      <c r="C12" s="16"/>
      <c r="D12" s="16"/>
      <c r="E12" s="16"/>
      <c r="F12" s="16"/>
      <c r="G12" s="16"/>
      <c r="H12" s="86"/>
      <c r="I12" s="86"/>
      <c r="J12" s="86"/>
      <c r="K12" s="86"/>
      <c r="L12" s="86"/>
    </row>
    <row r="13" spans="1:12" s="87" customFormat="1" ht="30" customHeight="1" x14ac:dyDescent="0.2">
      <c r="A13" s="23"/>
      <c r="B13" s="21"/>
      <c r="C13" s="21"/>
      <c r="D13" s="24"/>
      <c r="E13" s="18" t="s">
        <v>204</v>
      </c>
      <c r="F13" s="21"/>
      <c r="G13" s="18" t="s">
        <v>17</v>
      </c>
      <c r="H13" s="86"/>
      <c r="I13" s="86"/>
      <c r="J13" s="86"/>
      <c r="K13" s="86"/>
      <c r="L13" s="86"/>
    </row>
    <row r="14" spans="1:12" s="87" customFormat="1" ht="30" customHeight="1" x14ac:dyDescent="0.2">
      <c r="A14" s="21"/>
      <c r="B14" s="23" t="s">
        <v>374</v>
      </c>
      <c r="C14" s="43"/>
      <c r="D14" s="64"/>
      <c r="E14" s="43">
        <v>1200</v>
      </c>
      <c r="F14" s="85"/>
      <c r="G14" s="84">
        <v>24</v>
      </c>
      <c r="H14" s="86"/>
      <c r="I14" s="86"/>
      <c r="J14" s="86"/>
      <c r="K14" s="86"/>
      <c r="L14" s="86"/>
    </row>
    <row r="15" spans="1:12" s="87" customFormat="1" ht="30" customHeight="1" x14ac:dyDescent="0.2">
      <c r="A15" s="21"/>
      <c r="B15" s="23" t="s">
        <v>387</v>
      </c>
      <c r="C15" s="43"/>
      <c r="D15" s="64"/>
      <c r="E15" s="43">
        <v>1000</v>
      </c>
      <c r="F15" s="85"/>
      <c r="G15" s="84">
        <v>20</v>
      </c>
      <c r="H15" s="86"/>
      <c r="I15" s="86"/>
      <c r="J15" s="86"/>
      <c r="K15" s="86"/>
      <c r="L15" s="86"/>
    </row>
    <row r="16" spans="1:12" ht="30" customHeight="1" x14ac:dyDescent="0.2">
      <c r="A16" s="21"/>
      <c r="B16" s="23" t="s">
        <v>388</v>
      </c>
      <c r="C16" s="43"/>
      <c r="D16" s="64"/>
      <c r="E16" s="43">
        <v>1000</v>
      </c>
      <c r="F16" s="85"/>
      <c r="G16" s="84">
        <v>20</v>
      </c>
    </row>
    <row r="17" spans="1:7" ht="30" customHeight="1" x14ac:dyDescent="0.2">
      <c r="A17" s="21"/>
      <c r="B17" s="23" t="s">
        <v>389</v>
      </c>
      <c r="C17" s="43"/>
      <c r="D17" s="64"/>
      <c r="E17" s="43">
        <v>600</v>
      </c>
      <c r="F17" s="85"/>
      <c r="G17" s="84">
        <v>12</v>
      </c>
    </row>
    <row r="18" spans="1:7" ht="30" customHeight="1" x14ac:dyDescent="0.2">
      <c r="A18" s="21"/>
      <c r="B18" s="23" t="s">
        <v>390</v>
      </c>
      <c r="C18" s="43"/>
      <c r="D18" s="64"/>
      <c r="E18" s="43">
        <v>600</v>
      </c>
      <c r="F18" s="85"/>
      <c r="G18" s="84">
        <v>12</v>
      </c>
    </row>
    <row r="19" spans="1:7" ht="30" customHeight="1" x14ac:dyDescent="0.2">
      <c r="A19" s="21"/>
      <c r="B19" s="23" t="s">
        <v>391</v>
      </c>
      <c r="C19" s="43"/>
      <c r="D19" s="64"/>
      <c r="E19" s="43">
        <v>600</v>
      </c>
      <c r="F19" s="85"/>
      <c r="G19" s="84">
        <v>12</v>
      </c>
    </row>
    <row r="20" spans="1:7" ht="30" customHeight="1" thickBot="1" x14ac:dyDescent="0.25">
      <c r="A20" s="24"/>
      <c r="B20" s="24"/>
      <c r="C20" s="43"/>
      <c r="D20" s="64"/>
      <c r="E20" s="67">
        <f>SUM(E14:E19)</f>
        <v>5000</v>
      </c>
      <c r="F20" s="43"/>
      <c r="G20" s="67">
        <f>SUM(G14:G19)</f>
        <v>100</v>
      </c>
    </row>
    <row r="21" spans="1:7" ht="21" customHeight="1" thickTop="1" x14ac:dyDescent="0.2"/>
    <row r="22" spans="1:7" ht="21" customHeight="1" x14ac:dyDescent="0.2"/>
    <row r="23" spans="1:7" ht="21" customHeight="1" x14ac:dyDescent="0.2"/>
    <row r="24" spans="1:7" ht="21" customHeight="1" x14ac:dyDescent="0.2"/>
    <row r="25" spans="1:7" ht="21" customHeight="1" x14ac:dyDescent="0.2"/>
    <row r="26" spans="1:7" ht="21" customHeight="1" x14ac:dyDescent="0.2"/>
    <row r="27" spans="1:7" ht="21" customHeight="1" x14ac:dyDescent="0.2"/>
    <row r="28" spans="1:7" ht="21" customHeight="1" x14ac:dyDescent="0.2">
      <c r="A28" s="292">
        <v>17</v>
      </c>
      <c r="B28" s="292"/>
      <c r="C28" s="292"/>
      <c r="D28" s="292"/>
      <c r="E28" s="292"/>
      <c r="F28" s="292"/>
      <c r="G28" s="292"/>
    </row>
  </sheetData>
  <customSheetViews>
    <customSheetView guid="{77FE9A31-615C-11D9-8076-000F3DEC765A}" showRuler="0">
      <selection activeCell="A7" sqref="A7"/>
      <pageMargins left="0" right="0.55118110236220474" top="0" bottom="0" header="0.51181102362204722" footer="0.51181102362204722"/>
      <pageSetup paperSize="9" orientation="portrait" r:id="rId1"/>
      <headerFooter alignWithMargins="0">
        <oddFooter>&amp;Cصفحه(36)</oddFooter>
      </headerFooter>
    </customSheetView>
    <customSheetView guid="{8BABEDE0-61D1-11D9-A0C2-0080AD86BB50}" showRuler="0">
      <selection activeCell="A7" sqref="A7"/>
      <pageMargins left="0" right="0.55118110236220474" top="0" bottom="0" header="0.51181102362204722" footer="0.51181102362204722"/>
      <pageSetup paperSize="9" orientation="portrait" r:id="rId2"/>
      <headerFooter alignWithMargins="0">
        <oddFooter>&amp;Cصفحه(36)</oddFooter>
      </headerFooter>
    </customSheetView>
  </customSheetViews>
  <mergeCells count="1">
    <mergeCell ref="A28:G28"/>
  </mergeCells>
  <phoneticPr fontId="0" type="noConversion"/>
  <printOptions horizontalCentered="1"/>
  <pageMargins left="0.59055118110236227" right="0.59055118110236227" top="1.3779527559055118" bottom="0.39370078740157483" header="0.39370078740157483" footer="0.51181102362204722"/>
  <pageSetup paperSize="9"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rightToLeft="1" zoomScaleSheetLayoutView="85" workbookViewId="0">
      <selection activeCell="E10" sqref="E10"/>
    </sheetView>
  </sheetViews>
  <sheetFormatPr defaultRowHeight="22.5" x14ac:dyDescent="0.2"/>
  <cols>
    <col min="1" max="1" width="5.85546875" style="76" customWidth="1"/>
    <col min="2" max="2" width="28.140625" style="76" customWidth="1"/>
    <col min="3" max="3" width="12.7109375" style="76" bestFit="1" customWidth="1"/>
    <col min="4" max="4" width="2" style="76" customWidth="1"/>
    <col min="5" max="5" width="13.5703125" style="76" customWidth="1"/>
    <col min="6" max="6" width="16.7109375" style="76" hidden="1" customWidth="1"/>
    <col min="7" max="7" width="1.42578125" style="76" customWidth="1"/>
    <col min="8" max="8" width="12.7109375" style="76" bestFit="1" customWidth="1"/>
    <col min="9" max="9" width="1.7109375" style="76" customWidth="1"/>
    <col min="10" max="10" width="12.7109375" style="76" customWidth="1"/>
    <col min="11" max="11" width="16.7109375" style="76" hidden="1" customWidth="1"/>
    <col min="12" max="12" width="13.28515625" style="77" customWidth="1"/>
    <col min="13" max="16384" width="9.140625" style="77"/>
  </cols>
  <sheetData>
    <row r="1" spans="1:12" ht="24" customHeight="1" x14ac:dyDescent="0.2">
      <c r="A1" s="69" t="s">
        <v>275</v>
      </c>
      <c r="B1" s="70" t="s">
        <v>216</v>
      </c>
      <c r="C1" s="74"/>
      <c r="D1" s="74"/>
      <c r="E1" s="75"/>
      <c r="F1" s="74"/>
      <c r="G1" s="74"/>
      <c r="H1" s="74"/>
      <c r="I1" s="74"/>
    </row>
    <row r="2" spans="1:12" ht="17.25" customHeight="1" x14ac:dyDescent="0.2">
      <c r="A2" s="77"/>
      <c r="B2" s="74"/>
      <c r="C2" s="309">
        <v>1389</v>
      </c>
      <c r="D2" s="309"/>
      <c r="E2" s="309"/>
      <c r="F2" s="187"/>
      <c r="G2" s="74"/>
      <c r="H2" s="309">
        <v>1388</v>
      </c>
      <c r="I2" s="309"/>
      <c r="J2" s="309"/>
      <c r="K2" s="80"/>
      <c r="L2" s="75"/>
    </row>
    <row r="3" spans="1:12" ht="19.5" customHeight="1" x14ac:dyDescent="0.55000000000000004">
      <c r="A3" s="77"/>
      <c r="B3" s="77"/>
      <c r="C3" s="221" t="s">
        <v>330</v>
      </c>
      <c r="D3" s="74"/>
      <c r="E3" s="221" t="s">
        <v>132</v>
      </c>
      <c r="F3" s="77"/>
      <c r="G3" s="77"/>
      <c r="H3" s="221" t="s">
        <v>330</v>
      </c>
      <c r="I3" s="222"/>
      <c r="J3" s="221" t="s">
        <v>132</v>
      </c>
      <c r="K3" s="74"/>
      <c r="L3" s="75"/>
    </row>
    <row r="4" spans="1:12" ht="21" customHeight="1" x14ac:dyDescent="0.55000000000000004">
      <c r="A4" s="77"/>
      <c r="B4" s="77" t="s">
        <v>392</v>
      </c>
      <c r="C4" s="45">
        <v>120917.5</v>
      </c>
      <c r="D4" s="74"/>
      <c r="E4" s="45">
        <v>35794</v>
      </c>
      <c r="F4" s="77"/>
      <c r="G4" s="77"/>
      <c r="H4" s="45">
        <v>202313</v>
      </c>
      <c r="I4" s="235"/>
      <c r="J4" s="45">
        <v>40398</v>
      </c>
      <c r="K4" s="74"/>
      <c r="L4" s="75"/>
    </row>
    <row r="5" spans="1:12" ht="21" customHeight="1" x14ac:dyDescent="0.55000000000000004">
      <c r="A5" s="77"/>
      <c r="B5" s="77" t="s">
        <v>393</v>
      </c>
      <c r="C5" s="45">
        <v>59073.59</v>
      </c>
      <c r="D5" s="74"/>
      <c r="E5" s="45">
        <v>7340</v>
      </c>
      <c r="F5" s="77"/>
      <c r="G5" s="77"/>
      <c r="H5" s="45">
        <v>64755</v>
      </c>
      <c r="I5" s="235"/>
      <c r="J5" s="45">
        <v>6929</v>
      </c>
      <c r="K5" s="74"/>
      <c r="L5" s="75"/>
    </row>
    <row r="6" spans="1:12" ht="21" customHeight="1" x14ac:dyDescent="0.55000000000000004">
      <c r="A6" s="77"/>
      <c r="B6" s="77" t="s">
        <v>394</v>
      </c>
      <c r="C6" s="45">
        <v>10619.07</v>
      </c>
      <c r="D6" s="74"/>
      <c r="E6" s="45">
        <v>2524</v>
      </c>
      <c r="F6" s="77"/>
      <c r="G6" s="77"/>
      <c r="H6" s="236">
        <v>0</v>
      </c>
      <c r="I6" s="235"/>
      <c r="J6" s="236">
        <v>0</v>
      </c>
      <c r="K6" s="74"/>
      <c r="L6" s="75"/>
    </row>
    <row r="7" spans="1:12" ht="21" customHeight="1" x14ac:dyDescent="0.55000000000000004">
      <c r="A7" s="77"/>
      <c r="B7" s="77" t="s">
        <v>395</v>
      </c>
      <c r="C7" s="45">
        <v>18655.45</v>
      </c>
      <c r="D7" s="77"/>
      <c r="E7" s="45">
        <v>1751</v>
      </c>
      <c r="F7" s="77"/>
      <c r="G7" s="77"/>
      <c r="H7" s="236">
        <v>0</v>
      </c>
      <c r="I7" s="77"/>
      <c r="J7" s="236">
        <v>0</v>
      </c>
      <c r="K7" s="74"/>
      <c r="L7" s="75"/>
    </row>
    <row r="8" spans="1:12" ht="21" customHeight="1" x14ac:dyDescent="0.55000000000000004">
      <c r="A8" s="77"/>
      <c r="B8" s="77" t="s">
        <v>329</v>
      </c>
      <c r="C8" s="45">
        <v>1141.02</v>
      </c>
      <c r="D8" s="77"/>
      <c r="E8" s="45">
        <v>339</v>
      </c>
      <c r="F8" s="77"/>
      <c r="G8" s="77"/>
      <c r="H8" s="236">
        <v>0</v>
      </c>
      <c r="I8" s="77"/>
      <c r="J8" s="236">
        <v>0</v>
      </c>
      <c r="K8" s="74"/>
      <c r="L8" s="75"/>
    </row>
    <row r="9" spans="1:12" ht="21" customHeight="1" x14ac:dyDescent="0.2">
      <c r="A9" s="77"/>
      <c r="B9" s="77"/>
      <c r="C9" s="45"/>
      <c r="D9" s="77"/>
      <c r="E9" s="184">
        <f>SUM(E4:E8)</f>
        <v>47748</v>
      </c>
      <c r="F9" s="77"/>
      <c r="G9" s="77"/>
      <c r="H9" s="45"/>
      <c r="I9" s="77"/>
      <c r="J9" s="184">
        <f>SUM(J4:J8)</f>
        <v>47327</v>
      </c>
      <c r="K9" s="74"/>
      <c r="L9" s="75"/>
    </row>
    <row r="10" spans="1:12" ht="21" customHeight="1" x14ac:dyDescent="0.2">
      <c r="A10" s="77"/>
      <c r="B10" s="77" t="s">
        <v>331</v>
      </c>
      <c r="C10" s="77"/>
      <c r="D10" s="77"/>
      <c r="E10" s="77">
        <v>-31</v>
      </c>
      <c r="F10" s="77"/>
      <c r="G10" s="77"/>
      <c r="H10" s="77"/>
      <c r="I10" s="77"/>
      <c r="J10" s="77">
        <f>-(1362+226)</f>
        <v>-1588</v>
      </c>
      <c r="K10" s="74"/>
      <c r="L10" s="75"/>
    </row>
    <row r="11" spans="1:12" ht="19.5" customHeight="1" thickBot="1" x14ac:dyDescent="0.25">
      <c r="A11" s="77"/>
      <c r="B11" s="74"/>
      <c r="C11" s="74"/>
      <c r="D11" s="74"/>
      <c r="E11" s="46">
        <f>SUM(E9:E10)</f>
        <v>47717</v>
      </c>
      <c r="F11" s="74"/>
      <c r="G11" s="74"/>
      <c r="H11" s="74"/>
      <c r="I11" s="74"/>
      <c r="J11" s="46">
        <f>SUM(J9:J10)</f>
        <v>45739</v>
      </c>
      <c r="K11" s="75"/>
      <c r="L11" s="75"/>
    </row>
    <row r="12" spans="1:12" ht="11.25" customHeight="1" thickTop="1" x14ac:dyDescent="0.2">
      <c r="A12" s="77"/>
      <c r="B12" s="74"/>
      <c r="C12" s="74"/>
      <c r="D12" s="74"/>
      <c r="E12" s="77"/>
      <c r="F12" s="74"/>
      <c r="G12" s="74"/>
      <c r="H12" s="74"/>
      <c r="I12" s="74"/>
      <c r="J12" s="77"/>
      <c r="K12" s="77"/>
    </row>
    <row r="13" spans="1:12" ht="22.5" customHeight="1" x14ac:dyDescent="0.2">
      <c r="A13" s="122"/>
      <c r="B13" s="74" t="s">
        <v>267</v>
      </c>
      <c r="C13" s="74"/>
      <c r="D13" s="74"/>
      <c r="E13" s="77"/>
      <c r="F13" s="74"/>
      <c r="G13" s="74"/>
      <c r="H13" s="74"/>
      <c r="I13" s="74"/>
      <c r="J13" s="77"/>
      <c r="K13" s="77"/>
    </row>
    <row r="14" spans="1:12" ht="21.75" customHeight="1" x14ac:dyDescent="0.2">
      <c r="A14" s="122"/>
      <c r="B14" s="74"/>
      <c r="C14" s="74"/>
      <c r="D14" s="74"/>
      <c r="E14" s="121" t="s">
        <v>139</v>
      </c>
      <c r="F14" s="121" t="s">
        <v>139</v>
      </c>
      <c r="G14" s="74"/>
      <c r="H14" s="74"/>
      <c r="I14" s="74"/>
      <c r="J14" s="77"/>
      <c r="K14" s="77"/>
    </row>
    <row r="15" spans="1:12" ht="19.5" customHeight="1" x14ac:dyDescent="0.2">
      <c r="A15" s="77"/>
      <c r="B15" s="74"/>
      <c r="C15" s="74"/>
      <c r="D15" s="74"/>
      <c r="E15" s="75" t="s">
        <v>132</v>
      </c>
      <c r="F15" s="75" t="s">
        <v>120</v>
      </c>
      <c r="G15" s="74"/>
      <c r="H15" s="74"/>
      <c r="I15" s="74"/>
      <c r="J15" s="77"/>
      <c r="K15" s="77"/>
    </row>
    <row r="16" spans="1:12" ht="18" customHeight="1" x14ac:dyDescent="0.2">
      <c r="A16" s="77"/>
      <c r="B16" s="74" t="s">
        <v>405</v>
      </c>
      <c r="C16" s="74"/>
      <c r="D16" s="74"/>
      <c r="E16" s="45">
        <v>3538</v>
      </c>
      <c r="F16" s="75"/>
      <c r="G16" s="74"/>
      <c r="H16" s="74"/>
      <c r="I16" s="74"/>
      <c r="J16" s="77"/>
      <c r="K16" s="77"/>
    </row>
    <row r="17" spans="1:11" ht="18" customHeight="1" x14ac:dyDescent="0.2">
      <c r="A17" s="122"/>
      <c r="B17" s="74" t="s">
        <v>305</v>
      </c>
      <c r="C17" s="74"/>
      <c r="D17" s="74"/>
      <c r="E17" s="45">
        <v>2956</v>
      </c>
      <c r="F17" s="74">
        <v>445980000</v>
      </c>
      <c r="G17" s="74"/>
      <c r="H17" s="74"/>
      <c r="I17" s="74"/>
      <c r="J17" s="77"/>
      <c r="K17" s="77"/>
    </row>
    <row r="18" spans="1:11" ht="18" customHeight="1" x14ac:dyDescent="0.2">
      <c r="A18" s="77"/>
      <c r="B18" s="74" t="s">
        <v>403</v>
      </c>
      <c r="C18" s="74"/>
      <c r="D18" s="74"/>
      <c r="E18" s="45">
        <v>2774</v>
      </c>
      <c r="F18" s="74">
        <v>395424000</v>
      </c>
      <c r="G18" s="74"/>
      <c r="H18" s="74"/>
      <c r="I18" s="74"/>
      <c r="J18" s="77"/>
      <c r="K18" s="77"/>
    </row>
    <row r="19" spans="1:11" ht="18" customHeight="1" x14ac:dyDescent="0.2">
      <c r="A19" s="122"/>
      <c r="B19" s="74" t="s">
        <v>438</v>
      </c>
      <c r="C19" s="74"/>
      <c r="D19" s="74"/>
      <c r="E19" s="45">
        <v>2565</v>
      </c>
      <c r="F19" s="74">
        <v>383169000</v>
      </c>
      <c r="G19" s="74"/>
      <c r="H19" s="74"/>
      <c r="I19" s="74"/>
      <c r="J19" s="77"/>
      <c r="K19" s="77"/>
    </row>
    <row r="20" spans="1:11" ht="18" customHeight="1" x14ac:dyDescent="0.2">
      <c r="A20" s="77"/>
      <c r="B20" s="74" t="s">
        <v>456</v>
      </c>
      <c r="C20" s="74"/>
      <c r="D20" s="74"/>
      <c r="E20" s="45">
        <v>1775</v>
      </c>
      <c r="F20" s="74">
        <v>342360000</v>
      </c>
      <c r="G20" s="74"/>
      <c r="H20" s="74"/>
      <c r="I20" s="74"/>
      <c r="J20" s="77"/>
      <c r="K20" s="77"/>
    </row>
    <row r="21" spans="1:11" ht="18" customHeight="1" x14ac:dyDescent="0.2">
      <c r="A21" s="77"/>
      <c r="B21" s="77" t="s">
        <v>424</v>
      </c>
      <c r="C21" s="77"/>
      <c r="D21" s="77"/>
      <c r="E21" s="45">
        <v>1552</v>
      </c>
      <c r="F21" s="77">
        <v>224130000</v>
      </c>
      <c r="G21" s="77"/>
      <c r="H21" s="77"/>
      <c r="I21" s="77"/>
      <c r="J21" s="77"/>
      <c r="K21" s="77"/>
    </row>
    <row r="22" spans="1:11" ht="18" customHeight="1" x14ac:dyDescent="0.2">
      <c r="A22" s="77"/>
      <c r="B22" s="77" t="s">
        <v>425</v>
      </c>
      <c r="C22" s="77"/>
      <c r="D22" s="77"/>
      <c r="E22" s="45">
        <v>1475</v>
      </c>
      <c r="F22" s="77"/>
      <c r="G22" s="77"/>
      <c r="H22" s="77"/>
      <c r="I22" s="77"/>
      <c r="J22" s="77"/>
      <c r="K22" s="77"/>
    </row>
    <row r="23" spans="1:11" ht="18" customHeight="1" x14ac:dyDescent="0.2">
      <c r="A23" s="77"/>
      <c r="B23" s="77" t="s">
        <v>421</v>
      </c>
      <c r="C23" s="77"/>
      <c r="D23" s="77"/>
      <c r="E23" s="45">
        <v>1400</v>
      </c>
      <c r="F23" s="77">
        <v>210816000</v>
      </c>
      <c r="G23" s="77"/>
      <c r="H23" s="77"/>
      <c r="I23" s="77"/>
      <c r="J23" s="77"/>
      <c r="K23" s="77"/>
    </row>
    <row r="24" spans="1:11" ht="18" customHeight="1" x14ac:dyDescent="0.2">
      <c r="A24" s="77"/>
      <c r="B24" s="77" t="s">
        <v>304</v>
      </c>
      <c r="C24" s="77"/>
      <c r="D24" s="77"/>
      <c r="E24" s="45">
        <v>1291</v>
      </c>
      <c r="F24" s="77">
        <v>203334000</v>
      </c>
      <c r="G24" s="77"/>
      <c r="H24" s="77"/>
      <c r="I24" s="77"/>
      <c r="J24" s="77"/>
      <c r="K24" s="77"/>
    </row>
    <row r="25" spans="1:11" ht="18" customHeight="1" x14ac:dyDescent="0.2">
      <c r="A25" s="77"/>
      <c r="B25" s="77" t="s">
        <v>437</v>
      </c>
      <c r="C25" s="77"/>
      <c r="D25" s="77"/>
      <c r="E25" s="45">
        <v>1289</v>
      </c>
      <c r="F25" s="77">
        <v>189054000</v>
      </c>
      <c r="G25" s="77"/>
      <c r="H25" s="77"/>
      <c r="I25" s="77"/>
      <c r="J25" s="77"/>
      <c r="K25" s="77"/>
    </row>
    <row r="26" spans="1:11" ht="18" customHeight="1" x14ac:dyDescent="0.2">
      <c r="A26" s="77"/>
      <c r="B26" s="77" t="s">
        <v>411</v>
      </c>
      <c r="C26" s="77"/>
      <c r="D26" s="77"/>
      <c r="E26" s="45">
        <v>1152</v>
      </c>
      <c r="F26" s="77">
        <v>185632000</v>
      </c>
      <c r="G26" s="77"/>
      <c r="H26" s="77"/>
      <c r="I26" s="77"/>
      <c r="J26" s="77"/>
      <c r="K26" s="77"/>
    </row>
    <row r="27" spans="1:11" ht="18" customHeight="1" x14ac:dyDescent="0.2">
      <c r="A27" s="77"/>
      <c r="B27" s="77" t="s">
        <v>408</v>
      </c>
      <c r="C27" s="77"/>
      <c r="D27" s="77"/>
      <c r="E27" s="45">
        <v>1144</v>
      </c>
      <c r="F27" s="77"/>
      <c r="G27" s="77"/>
      <c r="H27" s="77"/>
      <c r="I27" s="77"/>
      <c r="J27" s="77"/>
      <c r="K27" s="77"/>
    </row>
    <row r="28" spans="1:11" ht="18" customHeight="1" x14ac:dyDescent="0.2">
      <c r="A28" s="77"/>
      <c r="B28" s="77" t="s">
        <v>303</v>
      </c>
      <c r="C28" s="77"/>
      <c r="D28" s="77"/>
      <c r="E28" s="45">
        <v>1140</v>
      </c>
      <c r="F28" s="77"/>
      <c r="G28" s="77"/>
      <c r="H28" s="77"/>
      <c r="I28" s="77"/>
      <c r="J28" s="77"/>
      <c r="K28" s="77"/>
    </row>
    <row r="29" spans="1:11" ht="18" customHeight="1" x14ac:dyDescent="0.2">
      <c r="A29" s="77"/>
      <c r="B29" s="77" t="s">
        <v>406</v>
      </c>
      <c r="C29" s="77"/>
      <c r="D29" s="77"/>
      <c r="E29" s="45">
        <v>1140</v>
      </c>
      <c r="F29" s="77"/>
      <c r="G29" s="77"/>
      <c r="H29" s="77"/>
      <c r="I29" s="77"/>
      <c r="J29" s="77"/>
      <c r="K29" s="77"/>
    </row>
    <row r="30" spans="1:11" ht="18" customHeight="1" x14ac:dyDescent="0.2">
      <c r="A30" s="77"/>
      <c r="B30" s="77" t="s">
        <v>407</v>
      </c>
      <c r="C30" s="77"/>
      <c r="D30" s="77"/>
      <c r="E30" s="45">
        <v>1098</v>
      </c>
      <c r="F30" s="77"/>
      <c r="G30" s="77"/>
      <c r="H30" s="77"/>
      <c r="I30" s="77"/>
      <c r="J30" s="77"/>
      <c r="K30" s="77"/>
    </row>
    <row r="31" spans="1:11" ht="18" customHeight="1" x14ac:dyDescent="0.2">
      <c r="A31" s="77"/>
      <c r="B31" s="77" t="s">
        <v>415</v>
      </c>
      <c r="C31" s="77"/>
      <c r="D31" s="77"/>
      <c r="E31" s="45">
        <v>1070</v>
      </c>
      <c r="F31" s="77"/>
      <c r="G31" s="77"/>
      <c r="H31" s="77"/>
      <c r="I31" s="77"/>
      <c r="J31" s="77"/>
      <c r="K31" s="77"/>
    </row>
    <row r="32" spans="1:11" ht="18" customHeight="1" x14ac:dyDescent="0.2">
      <c r="A32" s="77"/>
      <c r="B32" s="77" t="s">
        <v>434</v>
      </c>
      <c r="C32" s="77"/>
      <c r="D32" s="77"/>
      <c r="E32" s="45">
        <v>1064</v>
      </c>
      <c r="F32" s="77"/>
      <c r="G32" s="77"/>
      <c r="H32" s="77"/>
      <c r="I32" s="77"/>
      <c r="J32" s="77"/>
      <c r="K32" s="77"/>
    </row>
    <row r="33" spans="1:11" ht="18" customHeight="1" x14ac:dyDescent="0.2">
      <c r="A33" s="77"/>
      <c r="B33" s="77" t="s">
        <v>460</v>
      </c>
      <c r="C33" s="77"/>
      <c r="D33" s="77"/>
      <c r="E33" s="45">
        <v>1025</v>
      </c>
      <c r="F33" s="77"/>
      <c r="G33" s="77"/>
      <c r="H33" s="77"/>
      <c r="I33" s="77"/>
      <c r="J33" s="77"/>
      <c r="K33" s="77"/>
    </row>
    <row r="34" spans="1:11" ht="18" customHeight="1" x14ac:dyDescent="0.2">
      <c r="A34" s="77"/>
      <c r="B34" s="77" t="s">
        <v>432</v>
      </c>
      <c r="C34" s="77"/>
      <c r="D34" s="77"/>
      <c r="E34" s="45">
        <v>903</v>
      </c>
      <c r="F34" s="77"/>
      <c r="G34" s="77"/>
      <c r="H34" s="77"/>
      <c r="I34" s="77"/>
      <c r="J34" s="77"/>
      <c r="K34" s="77"/>
    </row>
    <row r="35" spans="1:11" ht="18" customHeight="1" x14ac:dyDescent="0.2">
      <c r="A35" s="77"/>
      <c r="B35" s="77" t="s">
        <v>461</v>
      </c>
      <c r="C35" s="77"/>
      <c r="D35" s="77"/>
      <c r="E35" s="45">
        <v>871</v>
      </c>
      <c r="F35" s="77"/>
      <c r="G35" s="77"/>
      <c r="H35" s="77"/>
      <c r="I35" s="77"/>
      <c r="J35" s="77"/>
      <c r="K35" s="77"/>
    </row>
    <row r="36" spans="1:11" ht="18" customHeight="1" x14ac:dyDescent="0.2">
      <c r="A36" s="77"/>
      <c r="B36" s="77" t="s">
        <v>0</v>
      </c>
      <c r="C36" s="77"/>
      <c r="D36" s="77"/>
      <c r="E36" s="45">
        <v>16495</v>
      </c>
      <c r="F36" s="77"/>
      <c r="G36" s="77"/>
      <c r="H36" s="77"/>
      <c r="I36" s="77"/>
      <c r="J36" s="77"/>
      <c r="K36" s="77"/>
    </row>
    <row r="37" spans="1:11" ht="19.5" customHeight="1" thickBot="1" x14ac:dyDescent="0.25">
      <c r="A37" s="77"/>
      <c r="B37" s="77"/>
      <c r="C37" s="77"/>
      <c r="D37" s="77"/>
      <c r="E37" s="46">
        <f>SUM(E16:E36)</f>
        <v>47717</v>
      </c>
      <c r="F37" s="123">
        <f>SUM(F17:F26)</f>
        <v>2579899000</v>
      </c>
    </row>
    <row r="38" spans="1:11" ht="8.25" customHeight="1" thickTop="1" x14ac:dyDescent="0.2"/>
    <row r="39" spans="1:11" x14ac:dyDescent="0.2">
      <c r="A39" s="307">
        <v>18</v>
      </c>
      <c r="B39" s="307"/>
      <c r="C39" s="307"/>
      <c r="D39" s="307"/>
      <c r="E39" s="307"/>
      <c r="F39" s="307"/>
      <c r="G39" s="307"/>
      <c r="H39" s="307"/>
      <c r="I39" s="307"/>
      <c r="J39" s="307"/>
    </row>
  </sheetData>
  <customSheetViews>
    <customSheetView guid="{77FE9A31-615C-11D9-8076-000F3DEC765A}" showPageBreaks="1" showRuler="0" topLeftCell="A4">
      <selection activeCell="H11" sqref="H11"/>
      <pageMargins left="0" right="0.55118110236220474" top="0" bottom="0" header="0.51181102362204722" footer="0.51181102362204722"/>
      <pageSetup paperSize="9" orientation="portrait" r:id="rId1"/>
      <headerFooter alignWithMargins="0">
        <oddFooter>&amp;Cصفحه(39)</oddFooter>
      </headerFooter>
    </customSheetView>
    <customSheetView guid="{8BABEDE0-61D1-11D9-A0C2-0080AD86BB50}" showRuler="0" topLeftCell="A4">
      <selection activeCell="H11" sqref="H11"/>
      <pageMargins left="0" right="0.55118110236220474" top="0" bottom="0" header="0.51181102362204722" footer="0.51181102362204722"/>
      <pageSetup paperSize="9" orientation="portrait" r:id="rId2"/>
      <headerFooter alignWithMargins="0">
        <oddFooter>&amp;Cصفحه(39)</oddFooter>
      </headerFooter>
    </customSheetView>
  </customSheetViews>
  <mergeCells count="3">
    <mergeCell ref="A39:J39"/>
    <mergeCell ref="C2:E2"/>
    <mergeCell ref="H2:J2"/>
  </mergeCells>
  <phoneticPr fontId="0" type="noConversion"/>
  <printOptions horizontalCentered="1"/>
  <pageMargins left="0.59055118110236227" right="0.59055118110236227" top="1.3779527559055118" bottom="0.39370078740157483" header="0.39370078740157483" footer="0.51181102362204722"/>
  <pageSetup paperSize="9"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rightToLeft="1" zoomScaleSheetLayoutView="85" workbookViewId="0">
      <selection activeCell="E10" sqref="E10"/>
    </sheetView>
  </sheetViews>
  <sheetFormatPr defaultRowHeight="22.5" x14ac:dyDescent="0.2"/>
  <cols>
    <col min="1" max="1" width="5.85546875" style="104" customWidth="1"/>
    <col min="2" max="2" width="38.85546875" style="104" customWidth="1"/>
    <col min="3" max="3" width="7.42578125" style="104" bestFit="1" customWidth="1"/>
    <col min="4" max="4" width="2" style="104" customWidth="1"/>
    <col min="5" max="5" width="6.85546875" style="104" customWidth="1"/>
    <col min="6" max="6" width="3" style="104" customWidth="1"/>
    <col min="7" max="7" width="12.140625" style="104" customWidth="1"/>
    <col min="8" max="8" width="16.7109375" style="104" hidden="1" customWidth="1"/>
    <col min="9" max="9" width="1.85546875" style="104" customWidth="1"/>
    <col min="10" max="10" width="13.140625" style="104" customWidth="1"/>
    <col min="11" max="11" width="16.7109375" style="104" hidden="1" customWidth="1"/>
    <col min="12" max="13" width="9.140625" style="104"/>
    <col min="14" max="16384" width="9.140625" style="109"/>
  </cols>
  <sheetData>
    <row r="1" spans="1:13" ht="24" customHeight="1" x14ac:dyDescent="0.2">
      <c r="A1" s="126" t="s">
        <v>33</v>
      </c>
      <c r="B1" s="127" t="s">
        <v>224</v>
      </c>
      <c r="C1" s="106"/>
      <c r="D1" s="106"/>
      <c r="E1" s="106"/>
      <c r="F1" s="107"/>
      <c r="G1" s="106"/>
      <c r="H1" s="107"/>
      <c r="I1" s="107"/>
      <c r="K1" s="107"/>
    </row>
    <row r="2" spans="1:13" ht="24" customHeight="1" x14ac:dyDescent="0.2">
      <c r="A2" s="128"/>
      <c r="B2" s="106"/>
      <c r="C2" s="106"/>
      <c r="D2" s="106"/>
      <c r="E2" s="106"/>
      <c r="F2" s="107"/>
      <c r="G2" s="106"/>
      <c r="H2" s="107"/>
      <c r="I2" s="107"/>
      <c r="K2" s="107"/>
    </row>
    <row r="3" spans="1:13" ht="24" customHeight="1" x14ac:dyDescent="0.2">
      <c r="B3" s="106" t="s">
        <v>225</v>
      </c>
      <c r="C3" s="106"/>
      <c r="D3" s="106"/>
      <c r="E3" s="106"/>
      <c r="F3" s="107"/>
      <c r="G3" s="106"/>
      <c r="H3" s="107"/>
      <c r="I3" s="107"/>
      <c r="K3" s="107"/>
    </row>
    <row r="4" spans="1:13" ht="24" customHeight="1" x14ac:dyDescent="0.2">
      <c r="B4" s="106"/>
      <c r="C4" s="106"/>
      <c r="D4" s="106"/>
      <c r="E4" s="109"/>
      <c r="F4" s="109"/>
      <c r="G4" s="109"/>
      <c r="H4" s="109"/>
      <c r="I4" s="107"/>
      <c r="J4" s="176" t="s">
        <v>200</v>
      </c>
      <c r="K4" s="109"/>
    </row>
    <row r="5" spans="1:13" ht="24" customHeight="1" x14ac:dyDescent="0.2">
      <c r="A5" s="128"/>
      <c r="B5" s="106"/>
      <c r="C5" s="130" t="s">
        <v>25</v>
      </c>
      <c r="D5" s="106"/>
      <c r="G5" s="82">
        <v>1389</v>
      </c>
      <c r="H5" s="82">
        <v>1388</v>
      </c>
      <c r="I5" s="83"/>
      <c r="J5" s="82">
        <v>1388</v>
      </c>
      <c r="K5" s="82">
        <v>1387</v>
      </c>
    </row>
    <row r="6" spans="1:13" ht="24" customHeight="1" x14ac:dyDescent="0.55000000000000004">
      <c r="A6" s="109"/>
      <c r="B6" s="106"/>
      <c r="C6" s="107"/>
      <c r="D6" s="106"/>
      <c r="G6" s="78" t="s">
        <v>132</v>
      </c>
      <c r="H6" s="78" t="s">
        <v>120</v>
      </c>
      <c r="I6" s="78"/>
      <c r="J6" s="78" t="s">
        <v>132</v>
      </c>
      <c r="K6" s="78" t="s">
        <v>120</v>
      </c>
      <c r="L6" s="109"/>
      <c r="M6" s="109"/>
    </row>
    <row r="7" spans="1:13" ht="24" customHeight="1" x14ac:dyDescent="0.2">
      <c r="A7" s="109"/>
      <c r="B7" s="106" t="s">
        <v>19</v>
      </c>
      <c r="C7" s="107"/>
      <c r="D7" s="106"/>
      <c r="G7" s="45">
        <v>21647</v>
      </c>
      <c r="H7" s="106"/>
      <c r="I7" s="106"/>
      <c r="J7" s="45">
        <v>31788</v>
      </c>
      <c r="K7" s="106">
        <v>8871024820</v>
      </c>
      <c r="L7" s="109"/>
      <c r="M7" s="109"/>
    </row>
    <row r="8" spans="1:13" ht="24" customHeight="1" x14ac:dyDescent="0.2">
      <c r="A8" s="109"/>
      <c r="B8" s="106" t="s">
        <v>3</v>
      </c>
      <c r="C8" s="107" t="s">
        <v>268</v>
      </c>
      <c r="D8" s="106"/>
      <c r="G8" s="45">
        <v>9394</v>
      </c>
      <c r="H8" s="106"/>
      <c r="I8" s="106"/>
      <c r="J8" s="45">
        <v>8021</v>
      </c>
      <c r="K8" s="106">
        <v>2909240389</v>
      </c>
      <c r="L8" s="109"/>
      <c r="M8" s="109"/>
    </row>
    <row r="9" spans="1:13" ht="24" customHeight="1" x14ac:dyDescent="0.2">
      <c r="A9" s="109"/>
      <c r="B9" s="106" t="s">
        <v>22</v>
      </c>
      <c r="C9" s="107" t="s">
        <v>268</v>
      </c>
      <c r="D9" s="106"/>
      <c r="G9" s="58">
        <v>6393</v>
      </c>
      <c r="H9" s="112"/>
      <c r="I9" s="106"/>
      <c r="J9" s="58">
        <v>3017</v>
      </c>
      <c r="K9" s="112">
        <v>1025151721</v>
      </c>
      <c r="L9" s="109"/>
      <c r="M9" s="109"/>
    </row>
    <row r="10" spans="1:13" ht="24" customHeight="1" x14ac:dyDescent="0.2">
      <c r="A10" s="109"/>
      <c r="B10" s="106" t="s">
        <v>161</v>
      </c>
      <c r="C10" s="107"/>
      <c r="D10" s="106"/>
      <c r="G10" s="45">
        <f>SUM(G7:G9)</f>
        <v>37434</v>
      </c>
      <c r="H10" s="106">
        <f>SUM(H7:H9)</f>
        <v>0</v>
      </c>
      <c r="I10" s="106"/>
      <c r="J10" s="45">
        <f>SUM(J7:J9)</f>
        <v>42826</v>
      </c>
      <c r="K10" s="106">
        <f>SUM(K7:K9)</f>
        <v>12805416930</v>
      </c>
      <c r="L10" s="109"/>
      <c r="M10" s="109"/>
    </row>
    <row r="11" spans="1:13" ht="24" customHeight="1" x14ac:dyDescent="0.2">
      <c r="A11" s="109"/>
      <c r="B11" s="106" t="s">
        <v>350</v>
      </c>
      <c r="C11" s="107"/>
      <c r="D11" s="106"/>
      <c r="G11" s="45">
        <v>294</v>
      </c>
      <c r="H11" s="106"/>
      <c r="I11" s="106"/>
      <c r="J11" s="223">
        <v>0</v>
      </c>
      <c r="K11" s="106"/>
      <c r="L11" s="109"/>
      <c r="M11" s="109"/>
    </row>
    <row r="12" spans="1:13" ht="24" customHeight="1" x14ac:dyDescent="0.2">
      <c r="A12" s="109"/>
      <c r="B12" s="106" t="s">
        <v>314</v>
      </c>
      <c r="C12" s="107"/>
      <c r="D12" s="106"/>
      <c r="G12" s="106">
        <v>-1149</v>
      </c>
      <c r="H12" s="106"/>
      <c r="I12" s="106"/>
      <c r="J12" s="106">
        <v>-1354</v>
      </c>
      <c r="K12" s="106">
        <v>-2122243000</v>
      </c>
      <c r="L12" s="109"/>
      <c r="M12" s="109"/>
    </row>
    <row r="13" spans="1:13" ht="24" customHeight="1" thickBot="1" x14ac:dyDescent="0.25">
      <c r="A13" s="109"/>
      <c r="B13" s="106" t="s">
        <v>224</v>
      </c>
      <c r="C13" s="107"/>
      <c r="D13" s="106"/>
      <c r="G13" s="46">
        <f>SUM(G10:G12)</f>
        <v>36579</v>
      </c>
      <c r="H13" s="114">
        <f>SUM(H12:H12)</f>
        <v>0</v>
      </c>
      <c r="I13" s="106"/>
      <c r="J13" s="46">
        <f>SUM(J10:J12)</f>
        <v>41472</v>
      </c>
      <c r="K13" s="114">
        <f>SUM(K12:K12)</f>
        <v>-2122243000</v>
      </c>
      <c r="L13" s="109"/>
      <c r="M13" s="109"/>
    </row>
    <row r="14" spans="1:13" ht="24" customHeight="1" thickTop="1" x14ac:dyDescent="0.2">
      <c r="A14" s="107"/>
      <c r="B14" s="106"/>
      <c r="C14" s="106"/>
      <c r="D14" s="106"/>
      <c r="E14" s="106"/>
      <c r="F14" s="109"/>
      <c r="G14" s="106"/>
      <c r="H14" s="109"/>
      <c r="I14" s="109"/>
      <c r="K14" s="109"/>
    </row>
    <row r="15" spans="1:13" ht="24" customHeight="1" x14ac:dyDescent="0.2">
      <c r="A15" s="107"/>
      <c r="B15" s="106"/>
      <c r="C15" s="106"/>
      <c r="D15" s="106"/>
      <c r="E15" s="106"/>
      <c r="F15" s="109"/>
      <c r="G15" s="106"/>
      <c r="H15" s="109"/>
      <c r="I15" s="109"/>
      <c r="K15" s="109"/>
    </row>
    <row r="16" spans="1:13" ht="24" customHeight="1" x14ac:dyDescent="0.2">
      <c r="A16" s="107"/>
      <c r="B16" s="106"/>
      <c r="C16" s="106"/>
      <c r="D16" s="106"/>
      <c r="E16" s="106"/>
      <c r="F16" s="109"/>
      <c r="G16" s="106"/>
      <c r="H16" s="109"/>
      <c r="I16" s="109"/>
      <c r="K16" s="109"/>
    </row>
    <row r="17" spans="1:14" ht="24" customHeight="1" x14ac:dyDescent="0.2">
      <c r="A17" s="107"/>
      <c r="B17" s="106"/>
      <c r="C17" s="106"/>
      <c r="D17" s="106"/>
      <c r="E17" s="106"/>
      <c r="F17" s="109"/>
      <c r="G17" s="106"/>
      <c r="H17" s="109"/>
      <c r="I17" s="109"/>
      <c r="K17" s="109"/>
    </row>
    <row r="18" spans="1:14" ht="24" customHeight="1" x14ac:dyDescent="0.2">
      <c r="A18" s="107"/>
      <c r="B18" s="106"/>
      <c r="C18" s="106"/>
      <c r="D18" s="106"/>
      <c r="E18" s="106"/>
      <c r="F18" s="109"/>
      <c r="G18" s="106"/>
      <c r="H18" s="109"/>
      <c r="I18" s="109"/>
      <c r="K18" s="109"/>
    </row>
    <row r="19" spans="1:14" ht="24" customHeight="1" x14ac:dyDescent="0.2">
      <c r="A19" s="107"/>
      <c r="B19" s="106"/>
      <c r="C19" s="106"/>
      <c r="D19" s="106"/>
      <c r="E19" s="106"/>
      <c r="F19" s="109"/>
      <c r="G19" s="106"/>
      <c r="H19" s="109"/>
      <c r="I19" s="109"/>
      <c r="K19" s="109"/>
    </row>
    <row r="20" spans="1:14" ht="24" customHeight="1" x14ac:dyDescent="0.2">
      <c r="A20" s="107"/>
      <c r="B20" s="106"/>
      <c r="C20" s="106"/>
      <c r="D20" s="106"/>
      <c r="E20" s="106"/>
      <c r="F20" s="109"/>
      <c r="G20" s="106"/>
      <c r="H20" s="109"/>
      <c r="I20" s="109"/>
      <c r="K20" s="109"/>
    </row>
    <row r="21" spans="1:14" s="77" customFormat="1" ht="24" customHeight="1" x14ac:dyDescent="0.2">
      <c r="B21" s="106"/>
      <c r="C21" s="106"/>
      <c r="D21" s="106"/>
      <c r="E21" s="106"/>
      <c r="F21" s="109"/>
      <c r="G21" s="106"/>
      <c r="H21" s="109"/>
      <c r="I21" s="109"/>
      <c r="J21" s="74"/>
      <c r="K21" s="109"/>
      <c r="L21" s="74"/>
      <c r="M21" s="75"/>
      <c r="N21" s="74"/>
    </row>
    <row r="22" spans="1:14" ht="24" customHeight="1" x14ac:dyDescent="0.2">
      <c r="A22" s="109"/>
      <c r="B22" s="106"/>
      <c r="C22" s="106"/>
      <c r="D22" s="106"/>
      <c r="E22" s="109"/>
      <c r="F22" s="107"/>
      <c r="G22" s="109"/>
      <c r="H22" s="107"/>
      <c r="I22" s="107"/>
      <c r="K22" s="107"/>
    </row>
    <row r="23" spans="1:14" ht="24" customHeight="1" x14ac:dyDescent="0.2">
      <c r="A23" s="109"/>
      <c r="B23" s="106"/>
      <c r="C23" s="106"/>
      <c r="D23" s="106"/>
      <c r="E23" s="109"/>
      <c r="F23" s="107"/>
      <c r="G23" s="109"/>
      <c r="H23" s="107"/>
      <c r="I23" s="107"/>
      <c r="K23" s="107"/>
    </row>
    <row r="24" spans="1:14" ht="24" customHeight="1" x14ac:dyDescent="0.2">
      <c r="A24" s="109"/>
      <c r="B24" s="106"/>
      <c r="C24" s="106"/>
      <c r="D24" s="106"/>
      <c r="E24" s="109"/>
      <c r="F24" s="107"/>
      <c r="G24" s="109"/>
      <c r="H24" s="107"/>
      <c r="I24" s="107"/>
      <c r="K24" s="107"/>
    </row>
    <row r="25" spans="1:14" ht="24" customHeight="1" x14ac:dyDescent="0.2">
      <c r="A25" s="109"/>
      <c r="B25" s="106"/>
      <c r="C25" s="106"/>
      <c r="D25" s="106"/>
      <c r="E25" s="109"/>
      <c r="F25" s="107"/>
      <c r="G25" s="109"/>
      <c r="H25" s="107"/>
      <c r="I25" s="107"/>
      <c r="K25" s="107"/>
    </row>
    <row r="26" spans="1:14" ht="24" customHeight="1" x14ac:dyDescent="0.2">
      <c r="A26" s="109"/>
      <c r="B26" s="106"/>
      <c r="C26" s="106"/>
      <c r="D26" s="106"/>
      <c r="E26" s="109"/>
      <c r="F26" s="107"/>
      <c r="G26" s="109"/>
      <c r="H26" s="107"/>
      <c r="I26" s="107"/>
      <c r="K26" s="107"/>
    </row>
    <row r="27" spans="1:14" ht="24" customHeight="1" x14ac:dyDescent="0.2">
      <c r="A27" s="109"/>
      <c r="B27" s="106"/>
      <c r="C27" s="106"/>
      <c r="D27" s="106"/>
      <c r="E27" s="109"/>
      <c r="F27" s="107"/>
      <c r="G27" s="109"/>
      <c r="H27" s="107"/>
      <c r="I27" s="107"/>
      <c r="K27" s="107"/>
    </row>
    <row r="28" spans="1:14" ht="24" customHeight="1" x14ac:dyDescent="0.2">
      <c r="A28" s="109"/>
      <c r="B28" s="106"/>
      <c r="C28" s="106"/>
      <c r="D28" s="106"/>
      <c r="E28" s="109"/>
      <c r="F28" s="107"/>
      <c r="G28" s="109"/>
      <c r="H28" s="107"/>
      <c r="I28" s="107"/>
      <c r="K28" s="107"/>
    </row>
    <row r="29" spans="1:14" ht="24" customHeight="1" x14ac:dyDescent="0.2">
      <c r="A29" s="109"/>
      <c r="B29" s="106"/>
      <c r="C29" s="106"/>
      <c r="D29" s="106"/>
      <c r="E29" s="109"/>
      <c r="F29" s="107"/>
      <c r="G29" s="109"/>
      <c r="H29" s="107"/>
      <c r="I29" s="107"/>
      <c r="K29" s="107"/>
    </row>
    <row r="30" spans="1:14" ht="21" customHeight="1" x14ac:dyDescent="0.2">
      <c r="A30" s="310">
        <v>19</v>
      </c>
      <c r="B30" s="310"/>
      <c r="C30" s="310"/>
      <c r="D30" s="310"/>
      <c r="E30" s="310"/>
      <c r="F30" s="310"/>
      <c r="G30" s="310"/>
      <c r="H30" s="310"/>
      <c r="I30" s="310"/>
      <c r="J30" s="310"/>
      <c r="K30" s="107"/>
      <c r="L30" s="109"/>
      <c r="M30" s="109"/>
    </row>
    <row r="31" spans="1:14" x14ac:dyDescent="0.2">
      <c r="B31" s="129"/>
      <c r="C31" s="129"/>
      <c r="D31" s="129"/>
      <c r="E31" s="129"/>
      <c r="F31" s="129"/>
      <c r="G31" s="129"/>
      <c r="H31" s="129"/>
      <c r="I31" s="129"/>
      <c r="K31" s="129"/>
    </row>
  </sheetData>
  <customSheetViews>
    <customSheetView guid="{77FE9A31-615C-11D9-8076-000F3DEC765A}" showRuler="0" topLeftCell="A6">
      <selection activeCell="C13" sqref="C13"/>
      <pageMargins left="0" right="0.55118110236220474" top="0" bottom="0" header="0.51181102362204722" footer="0.51181102362204722"/>
      <pageSetup paperSize="9" orientation="portrait" r:id="rId1"/>
      <headerFooter alignWithMargins="0">
        <oddFooter>&amp;Cصفحه(41)</oddFooter>
      </headerFooter>
    </customSheetView>
    <customSheetView guid="{8BABEDE0-61D1-11D9-A0C2-0080AD86BB50}" showRuler="0" topLeftCell="A6">
      <selection activeCell="C13" sqref="C13"/>
      <pageMargins left="0" right="0.55118110236220474" top="0" bottom="0" header="0.51181102362204722" footer="0.51181102362204722"/>
      <pageSetup paperSize="9" orientation="portrait" r:id="rId2"/>
      <headerFooter alignWithMargins="0">
        <oddFooter>&amp;Cصفحه(41)</oddFooter>
      </headerFooter>
    </customSheetView>
  </customSheetViews>
  <mergeCells count="1">
    <mergeCell ref="A30:J30"/>
  </mergeCells>
  <phoneticPr fontId="0" type="noConversion"/>
  <printOptions horizontalCentered="1"/>
  <pageMargins left="0.59055118110236227" right="0.59055118110236227" top="1.3779527559055118" bottom="0.39370078740157483" header="0.39370078740157483" footer="0.51181102362204722"/>
  <pageSetup paperSize="9" orientation="portrait" blackAndWhite="1"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rightToLeft="1" view="pageBreakPreview" zoomScaleSheetLayoutView="100" workbookViewId="0">
      <pane xSplit="2" ySplit="4" topLeftCell="C5" activePane="bottomRight" state="frozen"/>
      <selection activeCell="E10" sqref="E10"/>
      <selection pane="topRight" activeCell="E10" sqref="E10"/>
      <selection pane="bottomLeft" activeCell="E10" sqref="E10"/>
      <selection pane="bottomRight" activeCell="E10" sqref="E10"/>
    </sheetView>
  </sheetViews>
  <sheetFormatPr defaultRowHeight="22.5" x14ac:dyDescent="0.2"/>
  <cols>
    <col min="1" max="1" width="54.85546875" style="132" hidden="1" customWidth="1"/>
    <col min="2" max="2" width="39.28515625" style="36" customWidth="1"/>
    <col min="3" max="3" width="11.7109375" style="63" customWidth="1"/>
    <col min="4" max="4" width="14.28515625" style="63" hidden="1" customWidth="1"/>
    <col min="5" max="5" width="1.5703125" style="63" customWidth="1"/>
    <col min="6" max="6" width="11.7109375" style="63" customWidth="1"/>
    <col min="7" max="7" width="14.28515625" style="63" hidden="1" customWidth="1"/>
    <col min="8" max="8" width="1.7109375" style="63" customWidth="1"/>
    <col min="9" max="9" width="11.7109375" style="63" customWidth="1"/>
    <col min="10" max="10" width="14.28515625" style="63" hidden="1" customWidth="1"/>
    <col min="11" max="11" width="1.5703125" style="63" customWidth="1"/>
    <col min="12" max="12" width="11.7109375" style="63" customWidth="1"/>
    <col min="13" max="13" width="14.28515625" style="63" hidden="1" customWidth="1"/>
    <col min="14" max="14" width="5.28515625" style="39" customWidth="1"/>
    <col min="15" max="16384" width="9.140625" style="39"/>
  </cols>
  <sheetData>
    <row r="1" spans="1:17" ht="24" customHeight="1" x14ac:dyDescent="0.2">
      <c r="A1" s="131"/>
      <c r="B1" s="50" t="s">
        <v>269</v>
      </c>
      <c r="C1" s="50"/>
      <c r="D1" s="50"/>
      <c r="E1" s="50"/>
      <c r="F1" s="50"/>
      <c r="G1" s="50"/>
      <c r="H1" s="50"/>
      <c r="I1" s="50"/>
      <c r="J1" s="50"/>
      <c r="K1" s="53"/>
      <c r="L1" s="50"/>
      <c r="M1" s="53"/>
    </row>
    <row r="2" spans="1:17" ht="21" customHeight="1" x14ac:dyDescent="0.2">
      <c r="B2" s="50"/>
      <c r="C2" s="312" t="s">
        <v>21</v>
      </c>
      <c r="D2" s="312"/>
      <c r="E2" s="312"/>
      <c r="F2" s="312"/>
      <c r="G2" s="312"/>
      <c r="H2" s="38"/>
      <c r="I2" s="312" t="s">
        <v>22</v>
      </c>
      <c r="J2" s="312"/>
      <c r="K2" s="312"/>
      <c r="L2" s="312"/>
      <c r="M2" s="312"/>
    </row>
    <row r="3" spans="1:17" ht="18.75" customHeight="1" x14ac:dyDescent="0.2">
      <c r="A3" s="131"/>
      <c r="B3" s="50"/>
      <c r="C3" s="313">
        <v>1389</v>
      </c>
      <c r="D3" s="313"/>
      <c r="E3" s="53"/>
      <c r="F3" s="313">
        <v>1388</v>
      </c>
      <c r="G3" s="313"/>
      <c r="H3" s="38"/>
      <c r="I3" s="313">
        <v>1389</v>
      </c>
      <c r="J3" s="313"/>
      <c r="K3" s="53"/>
      <c r="L3" s="313">
        <v>1388</v>
      </c>
      <c r="M3" s="313"/>
    </row>
    <row r="4" spans="1:17" ht="21.75" customHeight="1" x14ac:dyDescent="0.2">
      <c r="A4" s="131"/>
      <c r="B4" s="50"/>
      <c r="C4" s="125" t="s">
        <v>132</v>
      </c>
      <c r="D4" s="125" t="s">
        <v>120</v>
      </c>
      <c r="E4" s="38"/>
      <c r="F4" s="125" t="s">
        <v>132</v>
      </c>
      <c r="G4" s="125" t="s">
        <v>120</v>
      </c>
      <c r="H4" s="38"/>
      <c r="I4" s="125" t="s">
        <v>132</v>
      </c>
      <c r="J4" s="125" t="s">
        <v>120</v>
      </c>
      <c r="K4" s="38"/>
      <c r="L4" s="125" t="s">
        <v>132</v>
      </c>
      <c r="M4" s="125" t="s">
        <v>120</v>
      </c>
    </row>
    <row r="5" spans="1:17" ht="22.5" customHeight="1" x14ac:dyDescent="0.2">
      <c r="A5" s="131" t="s">
        <v>171</v>
      </c>
      <c r="B5" s="50" t="s">
        <v>162</v>
      </c>
      <c r="C5" s="134">
        <v>4529</v>
      </c>
      <c r="D5" s="134"/>
      <c r="E5" s="134"/>
      <c r="F5" s="134">
        <v>3784</v>
      </c>
      <c r="G5" s="134">
        <v>1569322729</v>
      </c>
      <c r="H5" s="134"/>
      <c r="I5" s="135" t="s">
        <v>20</v>
      </c>
      <c r="J5" s="135"/>
      <c r="K5" s="134"/>
      <c r="L5" s="135" t="s">
        <v>20</v>
      </c>
      <c r="M5" s="134"/>
      <c r="N5" s="133"/>
      <c r="O5" s="133"/>
      <c r="P5" s="133"/>
      <c r="Q5" s="133"/>
    </row>
    <row r="6" spans="1:17" ht="22.5" customHeight="1" x14ac:dyDescent="0.2">
      <c r="A6" s="131" t="s">
        <v>172</v>
      </c>
      <c r="B6" s="50" t="s">
        <v>163</v>
      </c>
      <c r="C6" s="134">
        <v>158</v>
      </c>
      <c r="D6" s="136"/>
      <c r="E6" s="134"/>
      <c r="F6" s="134">
        <v>160</v>
      </c>
      <c r="G6" s="134">
        <v>67466824</v>
      </c>
      <c r="H6" s="134"/>
      <c r="I6" s="135" t="s">
        <v>20</v>
      </c>
      <c r="J6" s="135"/>
      <c r="K6" s="134"/>
      <c r="L6" s="135" t="s">
        <v>20</v>
      </c>
      <c r="M6" s="134"/>
      <c r="N6" s="133"/>
      <c r="O6" s="133"/>
      <c r="P6" s="133"/>
      <c r="Q6" s="133"/>
    </row>
    <row r="7" spans="1:17" ht="22.5" customHeight="1" x14ac:dyDescent="0.2">
      <c r="A7" s="131" t="s">
        <v>173</v>
      </c>
      <c r="B7" s="50" t="s">
        <v>24</v>
      </c>
      <c r="C7" s="134">
        <v>493</v>
      </c>
      <c r="D7" s="134"/>
      <c r="E7" s="134"/>
      <c r="F7" s="134">
        <v>379</v>
      </c>
      <c r="G7" s="134">
        <v>199304474</v>
      </c>
      <c r="H7" s="134"/>
      <c r="I7" s="135" t="s">
        <v>20</v>
      </c>
      <c r="J7" s="135"/>
      <c r="K7" s="134"/>
      <c r="L7" s="135" t="s">
        <v>20</v>
      </c>
      <c r="M7" s="134"/>
      <c r="N7" s="133"/>
      <c r="O7" s="133"/>
      <c r="P7" s="133"/>
      <c r="Q7" s="133"/>
    </row>
    <row r="8" spans="1:17" ht="22.5" customHeight="1" x14ac:dyDescent="0.2">
      <c r="A8" s="131" t="s">
        <v>174</v>
      </c>
      <c r="B8" s="50" t="s">
        <v>88</v>
      </c>
      <c r="C8" s="134">
        <v>324</v>
      </c>
      <c r="D8" s="134"/>
      <c r="E8" s="134"/>
      <c r="F8" s="134">
        <v>238</v>
      </c>
      <c r="G8" s="134">
        <v>35882699</v>
      </c>
      <c r="H8" s="134"/>
      <c r="I8" s="135" t="s">
        <v>20</v>
      </c>
      <c r="J8" s="135"/>
      <c r="K8" s="134"/>
      <c r="L8" s="135" t="s">
        <v>20</v>
      </c>
      <c r="M8" s="134"/>
      <c r="N8" s="133"/>
      <c r="O8" s="133"/>
      <c r="P8" s="133"/>
      <c r="Q8" s="133"/>
    </row>
    <row r="9" spans="1:17" ht="22.5" customHeight="1" x14ac:dyDescent="0.2">
      <c r="A9" s="131" t="s">
        <v>175</v>
      </c>
      <c r="B9" s="50" t="s">
        <v>165</v>
      </c>
      <c r="C9" s="134">
        <v>411</v>
      </c>
      <c r="D9" s="134"/>
      <c r="E9" s="134"/>
      <c r="F9" s="134">
        <v>372</v>
      </c>
      <c r="G9" s="134">
        <v>62199354</v>
      </c>
      <c r="H9" s="134"/>
      <c r="I9" s="135" t="s">
        <v>20</v>
      </c>
      <c r="J9" s="135"/>
      <c r="K9" s="134"/>
      <c r="L9" s="135" t="s">
        <v>20</v>
      </c>
      <c r="M9" s="134"/>
      <c r="N9" s="133"/>
      <c r="O9" s="133"/>
      <c r="P9" s="133"/>
      <c r="Q9" s="133"/>
    </row>
    <row r="10" spans="1:17" ht="22.5" customHeight="1" x14ac:dyDescent="0.2">
      <c r="A10" s="131" t="s">
        <v>176</v>
      </c>
      <c r="B10" s="50" t="s">
        <v>166</v>
      </c>
      <c r="C10" s="134">
        <v>1127</v>
      </c>
      <c r="D10" s="134"/>
      <c r="E10" s="134"/>
      <c r="F10" s="134">
        <v>974</v>
      </c>
      <c r="G10" s="134">
        <v>443566133</v>
      </c>
      <c r="H10" s="134"/>
      <c r="I10" s="134" t="s">
        <v>20</v>
      </c>
      <c r="J10" s="134"/>
      <c r="K10" s="134"/>
      <c r="L10" s="134" t="s">
        <v>20</v>
      </c>
      <c r="M10" s="134"/>
      <c r="N10" s="133"/>
      <c r="O10" s="133"/>
      <c r="P10" s="133"/>
      <c r="Q10" s="133"/>
    </row>
    <row r="11" spans="1:17" ht="22.5" customHeight="1" x14ac:dyDescent="0.2">
      <c r="A11" s="131" t="s">
        <v>177</v>
      </c>
      <c r="B11" s="50" t="s">
        <v>62</v>
      </c>
      <c r="C11" s="134">
        <f>839+526</f>
        <v>1365</v>
      </c>
      <c r="D11" s="134"/>
      <c r="E11" s="134"/>
      <c r="F11" s="134">
        <f>756+483+27</f>
        <v>1266</v>
      </c>
      <c r="G11" s="134">
        <v>289653717</v>
      </c>
      <c r="H11" s="134"/>
      <c r="I11" s="134" t="s">
        <v>20</v>
      </c>
      <c r="J11" s="134"/>
      <c r="K11" s="134"/>
      <c r="L11" s="134" t="s">
        <v>20</v>
      </c>
      <c r="M11" s="134"/>
      <c r="N11" s="133"/>
      <c r="O11" s="133"/>
      <c r="P11" s="133"/>
      <c r="Q11" s="133"/>
    </row>
    <row r="12" spans="1:17" ht="22.5" customHeight="1" x14ac:dyDescent="0.2">
      <c r="A12" s="131" t="s">
        <v>178</v>
      </c>
      <c r="B12" s="50" t="s">
        <v>167</v>
      </c>
      <c r="C12" s="134">
        <v>829</v>
      </c>
      <c r="D12" s="134"/>
      <c r="E12" s="134"/>
      <c r="F12" s="134">
        <v>621</v>
      </c>
      <c r="G12" s="134">
        <v>138835818</v>
      </c>
      <c r="H12" s="134"/>
      <c r="I12" s="134" t="s">
        <v>20</v>
      </c>
      <c r="J12" s="134"/>
      <c r="K12" s="134"/>
      <c r="L12" s="134" t="s">
        <v>20</v>
      </c>
      <c r="M12" s="134"/>
      <c r="N12" s="133"/>
      <c r="O12" s="133"/>
      <c r="P12" s="133"/>
      <c r="Q12" s="133"/>
    </row>
    <row r="13" spans="1:17" ht="22.5" customHeight="1" x14ac:dyDescent="0.2">
      <c r="A13" s="131"/>
      <c r="B13" s="50" t="s">
        <v>89</v>
      </c>
      <c r="C13" s="134">
        <v>118</v>
      </c>
      <c r="D13" s="134"/>
      <c r="E13" s="134"/>
      <c r="F13" s="134">
        <v>184</v>
      </c>
      <c r="G13" s="134"/>
      <c r="H13" s="134"/>
      <c r="I13" s="134" t="s">
        <v>20</v>
      </c>
      <c r="J13" s="134"/>
      <c r="K13" s="134"/>
      <c r="L13" s="134" t="s">
        <v>20</v>
      </c>
      <c r="M13" s="134"/>
      <c r="N13" s="133"/>
      <c r="O13" s="133"/>
      <c r="P13" s="133"/>
      <c r="Q13" s="133"/>
    </row>
    <row r="14" spans="1:17" ht="22.5" customHeight="1" x14ac:dyDescent="0.2">
      <c r="A14" s="131" t="s">
        <v>179</v>
      </c>
      <c r="B14" s="50" t="s">
        <v>170</v>
      </c>
      <c r="C14" s="137" t="s">
        <v>20</v>
      </c>
      <c r="D14" s="137"/>
      <c r="E14" s="134"/>
      <c r="F14" s="138" t="s">
        <v>20</v>
      </c>
      <c r="G14" s="134"/>
      <c r="H14" s="134"/>
      <c r="I14" s="134">
        <v>4898</v>
      </c>
      <c r="J14" s="134"/>
      <c r="K14" s="134"/>
      <c r="L14" s="134">
        <v>1626</v>
      </c>
      <c r="M14" s="134">
        <v>312428548</v>
      </c>
      <c r="N14" s="133"/>
      <c r="O14" s="133"/>
      <c r="P14" s="133"/>
      <c r="Q14" s="133"/>
    </row>
    <row r="15" spans="1:17" ht="22.5" customHeight="1" x14ac:dyDescent="0.2">
      <c r="A15" s="131" t="s">
        <v>181</v>
      </c>
      <c r="B15" s="50" t="s">
        <v>168</v>
      </c>
      <c r="C15" s="137" t="s">
        <v>20</v>
      </c>
      <c r="D15" s="137"/>
      <c r="E15" s="134"/>
      <c r="F15" s="138" t="s">
        <v>20</v>
      </c>
      <c r="G15" s="134"/>
      <c r="H15" s="134"/>
      <c r="I15" s="134">
        <v>366</v>
      </c>
      <c r="J15" s="134"/>
      <c r="K15" s="134"/>
      <c r="L15" s="134">
        <v>669</v>
      </c>
      <c r="M15" s="134">
        <f>209528010+28244500+94872500</f>
        <v>332645010</v>
      </c>
      <c r="N15" s="133"/>
      <c r="O15" s="133"/>
      <c r="P15" s="133"/>
      <c r="Q15" s="133"/>
    </row>
    <row r="16" spans="1:17" ht="22.5" customHeight="1" x14ac:dyDescent="0.2">
      <c r="A16" s="131" t="s">
        <v>182</v>
      </c>
      <c r="B16" s="50" t="s">
        <v>169</v>
      </c>
      <c r="C16" s="137" t="s">
        <v>20</v>
      </c>
      <c r="D16" s="137"/>
      <c r="E16" s="134"/>
      <c r="F16" s="138" t="s">
        <v>20</v>
      </c>
      <c r="G16" s="134"/>
      <c r="H16" s="134"/>
      <c r="I16" s="134">
        <v>318</v>
      </c>
      <c r="J16" s="134"/>
      <c r="K16" s="134"/>
      <c r="L16" s="138">
        <v>311</v>
      </c>
      <c r="M16" s="134">
        <v>82992048</v>
      </c>
      <c r="N16" s="133"/>
      <c r="O16" s="133"/>
      <c r="P16" s="133"/>
      <c r="Q16" s="133"/>
    </row>
    <row r="17" spans="1:17" ht="22.5" customHeight="1" x14ac:dyDescent="0.2">
      <c r="A17" s="131"/>
      <c r="B17" s="50" t="s">
        <v>251</v>
      </c>
      <c r="C17" s="137" t="s">
        <v>20</v>
      </c>
      <c r="D17" s="137"/>
      <c r="E17" s="134"/>
      <c r="F17" s="138" t="s">
        <v>20</v>
      </c>
      <c r="G17" s="134"/>
      <c r="H17" s="134"/>
      <c r="I17" s="134">
        <v>296</v>
      </c>
      <c r="J17" s="134"/>
      <c r="K17" s="134"/>
      <c r="L17" s="134">
        <v>74</v>
      </c>
      <c r="M17" s="134"/>
      <c r="N17" s="133"/>
      <c r="O17" s="133"/>
      <c r="P17" s="133"/>
      <c r="Q17" s="133"/>
    </row>
    <row r="18" spans="1:17" ht="22.5" customHeight="1" x14ac:dyDescent="0.2">
      <c r="A18" s="131"/>
      <c r="B18" s="50" t="s">
        <v>252</v>
      </c>
      <c r="C18" s="137" t="s">
        <v>20</v>
      </c>
      <c r="D18" s="137"/>
      <c r="E18" s="134"/>
      <c r="F18" s="138" t="s">
        <v>20</v>
      </c>
      <c r="G18" s="134"/>
      <c r="H18" s="134"/>
      <c r="I18" s="134">
        <f>43+86+3</f>
        <v>132</v>
      </c>
      <c r="J18" s="134"/>
      <c r="K18" s="134"/>
      <c r="L18" s="138" t="s">
        <v>20</v>
      </c>
      <c r="M18" s="134"/>
      <c r="N18" s="133"/>
      <c r="O18" s="133"/>
      <c r="P18" s="133"/>
      <c r="Q18" s="133"/>
    </row>
    <row r="19" spans="1:17" ht="22.5" customHeight="1" x14ac:dyDescent="0.2">
      <c r="A19" s="131" t="s">
        <v>183</v>
      </c>
      <c r="B19" s="50" t="s">
        <v>253</v>
      </c>
      <c r="C19" s="137" t="s">
        <v>20</v>
      </c>
      <c r="D19" s="137"/>
      <c r="E19" s="134"/>
      <c r="F19" s="138" t="s">
        <v>20</v>
      </c>
      <c r="G19" s="134"/>
      <c r="H19" s="134"/>
      <c r="I19" s="134">
        <v>48</v>
      </c>
      <c r="J19" s="134"/>
      <c r="K19" s="134"/>
      <c r="L19" s="134">
        <v>15</v>
      </c>
      <c r="M19" s="134"/>
      <c r="N19" s="133"/>
      <c r="O19" s="133"/>
      <c r="P19" s="133"/>
      <c r="Q19" s="133"/>
    </row>
    <row r="20" spans="1:17" ht="22.5" customHeight="1" x14ac:dyDescent="0.2">
      <c r="A20" s="131" t="s">
        <v>184</v>
      </c>
      <c r="B20" s="50" t="s">
        <v>180</v>
      </c>
      <c r="C20" s="137" t="s">
        <v>20</v>
      </c>
      <c r="D20" s="137"/>
      <c r="E20" s="134"/>
      <c r="F20" s="138" t="s">
        <v>20</v>
      </c>
      <c r="G20" s="134"/>
      <c r="H20" s="134"/>
      <c r="I20" s="134">
        <v>153</v>
      </c>
      <c r="J20" s="134"/>
      <c r="K20" s="134"/>
      <c r="L20" s="138" t="s">
        <v>20</v>
      </c>
      <c r="M20" s="134">
        <f>19863100+16832830</f>
        <v>36695930</v>
      </c>
      <c r="N20" s="133"/>
      <c r="O20" s="133"/>
      <c r="P20" s="133"/>
      <c r="Q20" s="133"/>
    </row>
    <row r="21" spans="1:17" ht="22.5" customHeight="1" x14ac:dyDescent="0.2">
      <c r="A21" s="131"/>
      <c r="B21" s="50" t="s">
        <v>315</v>
      </c>
      <c r="C21" s="137" t="s">
        <v>20</v>
      </c>
      <c r="D21" s="137"/>
      <c r="E21" s="134"/>
      <c r="F21" s="138" t="s">
        <v>20</v>
      </c>
      <c r="G21" s="134"/>
      <c r="H21" s="134"/>
      <c r="I21" s="134">
        <v>46</v>
      </c>
      <c r="J21" s="134"/>
      <c r="K21" s="134"/>
      <c r="L21" s="138">
        <v>83</v>
      </c>
      <c r="M21" s="134"/>
      <c r="N21" s="133"/>
      <c r="O21" s="133"/>
      <c r="P21" s="133"/>
      <c r="Q21" s="133"/>
    </row>
    <row r="22" spans="1:17" ht="22.5" customHeight="1" x14ac:dyDescent="0.2">
      <c r="A22" s="131"/>
      <c r="B22" s="50" t="s">
        <v>316</v>
      </c>
      <c r="C22" s="137" t="s">
        <v>20</v>
      </c>
      <c r="D22" s="137"/>
      <c r="E22" s="134"/>
      <c r="F22" s="138" t="s">
        <v>20</v>
      </c>
      <c r="G22" s="134"/>
      <c r="H22" s="134"/>
      <c r="I22" s="134">
        <v>44</v>
      </c>
      <c r="J22" s="134"/>
      <c r="K22" s="134"/>
      <c r="L22" s="138">
        <v>32</v>
      </c>
      <c r="M22" s="134">
        <f>2511450+5000000</f>
        <v>7511450</v>
      </c>
      <c r="N22" s="133"/>
      <c r="O22" s="133"/>
      <c r="P22" s="133"/>
      <c r="Q22" s="133"/>
    </row>
    <row r="23" spans="1:17" ht="22.5" customHeight="1" x14ac:dyDescent="0.2">
      <c r="A23" s="131"/>
      <c r="B23" s="50" t="s">
        <v>326</v>
      </c>
      <c r="C23" s="137"/>
      <c r="D23" s="137"/>
      <c r="E23" s="134"/>
      <c r="F23" s="138"/>
      <c r="G23" s="134"/>
      <c r="H23" s="134"/>
      <c r="I23" s="138" t="s">
        <v>20</v>
      </c>
      <c r="J23" s="134"/>
      <c r="K23" s="134"/>
      <c r="L23" s="138">
        <v>160</v>
      </c>
      <c r="M23" s="134"/>
      <c r="N23" s="133"/>
      <c r="O23" s="133"/>
      <c r="P23" s="133"/>
      <c r="Q23" s="133"/>
    </row>
    <row r="24" spans="1:17" ht="22.5" customHeight="1" x14ac:dyDescent="0.2">
      <c r="A24" s="131" t="s">
        <v>185</v>
      </c>
      <c r="B24" s="50" t="s">
        <v>0</v>
      </c>
      <c r="C24" s="134">
        <v>40</v>
      </c>
      <c r="D24" s="134"/>
      <c r="E24" s="134"/>
      <c r="F24" s="134">
        <v>43</v>
      </c>
      <c r="G24" s="134">
        <f>7320000+18224291+9187310</f>
        <v>34731601</v>
      </c>
      <c r="H24" s="134"/>
      <c r="I24" s="134">
        <v>92</v>
      </c>
      <c r="J24" s="134"/>
      <c r="K24" s="134"/>
      <c r="L24" s="134">
        <v>47</v>
      </c>
      <c r="M24" s="134">
        <f>7643100+5867085+852000+2790000+3877000+17259600+6631950+715000</f>
        <v>45635735</v>
      </c>
      <c r="N24" s="133"/>
      <c r="O24" s="133"/>
      <c r="P24" s="133"/>
      <c r="Q24" s="133"/>
    </row>
    <row r="25" spans="1:17" ht="21.75" customHeight="1" thickBot="1" x14ac:dyDescent="0.25">
      <c r="A25" s="133"/>
      <c r="B25" s="50"/>
      <c r="C25" s="139">
        <f>SUM(C5:C24)</f>
        <v>9394</v>
      </c>
      <c r="D25" s="139">
        <f>SUM(D5:D24)</f>
        <v>0</v>
      </c>
      <c r="E25" s="134"/>
      <c r="F25" s="139">
        <f>SUM(F5:F24)</f>
        <v>8021</v>
      </c>
      <c r="G25" s="139">
        <f>SUM(G5:G24)</f>
        <v>2840963349</v>
      </c>
      <c r="H25" s="134"/>
      <c r="I25" s="139">
        <f>SUM(I5:I24)</f>
        <v>6393</v>
      </c>
      <c r="J25" s="139">
        <f>SUM(J5:J24)</f>
        <v>0</v>
      </c>
      <c r="K25" s="134"/>
      <c r="L25" s="139">
        <f>SUM(L10:L24)</f>
        <v>3017</v>
      </c>
      <c r="M25" s="139">
        <f>SUM(M10:M24)</f>
        <v>817908721</v>
      </c>
      <c r="N25" s="133"/>
      <c r="O25" s="133"/>
      <c r="P25" s="133"/>
      <c r="Q25" s="133"/>
    </row>
    <row r="26" spans="1:17" ht="13.5" customHeight="1" thickTop="1" x14ac:dyDescent="0.2">
      <c r="A26" s="133"/>
      <c r="B26" s="50"/>
      <c r="C26" s="134"/>
      <c r="D26" s="134"/>
      <c r="E26" s="134"/>
      <c r="F26" s="134"/>
      <c r="G26" s="134"/>
      <c r="H26" s="134"/>
      <c r="I26" s="134"/>
      <c r="J26" s="134"/>
      <c r="K26" s="134"/>
      <c r="L26" s="134"/>
      <c r="M26" s="134"/>
      <c r="N26" s="133"/>
      <c r="O26" s="133"/>
      <c r="P26" s="133"/>
      <c r="Q26" s="133"/>
    </row>
    <row r="27" spans="1:17" ht="24" customHeight="1" x14ac:dyDescent="0.2">
      <c r="A27" s="133"/>
      <c r="B27" s="295" t="s">
        <v>351</v>
      </c>
      <c r="C27" s="295"/>
      <c r="D27" s="295"/>
      <c r="E27" s="295"/>
      <c r="F27" s="295"/>
      <c r="G27" s="295"/>
      <c r="H27" s="295"/>
      <c r="I27" s="295"/>
      <c r="J27" s="295"/>
      <c r="K27" s="295"/>
      <c r="L27" s="295"/>
      <c r="M27" s="134"/>
      <c r="N27" s="133"/>
      <c r="O27" s="133"/>
      <c r="P27" s="133"/>
      <c r="Q27" s="133"/>
    </row>
    <row r="28" spans="1:17" ht="24" customHeight="1" x14ac:dyDescent="0.2">
      <c r="A28" s="133"/>
      <c r="B28" s="295"/>
      <c r="C28" s="295"/>
      <c r="D28" s="295"/>
      <c r="E28" s="295"/>
      <c r="F28" s="295"/>
      <c r="G28" s="295"/>
      <c r="H28" s="295"/>
      <c r="I28" s="295"/>
      <c r="J28" s="295"/>
      <c r="K28" s="295"/>
      <c r="L28" s="295"/>
      <c r="M28" s="134"/>
      <c r="N28" s="133"/>
      <c r="O28" s="133"/>
      <c r="P28" s="133"/>
      <c r="Q28" s="133"/>
    </row>
    <row r="29" spans="1:17" ht="24" customHeight="1" x14ac:dyDescent="0.2">
      <c r="A29" s="133"/>
      <c r="B29" s="295" t="s">
        <v>396</v>
      </c>
      <c r="C29" s="295"/>
      <c r="D29" s="295"/>
      <c r="E29" s="295"/>
      <c r="F29" s="295"/>
      <c r="G29" s="295"/>
      <c r="H29" s="295"/>
      <c r="I29" s="295"/>
      <c r="J29" s="295"/>
      <c r="K29" s="295"/>
      <c r="L29" s="295"/>
      <c r="M29" s="134"/>
      <c r="N29" s="133"/>
      <c r="O29" s="133"/>
      <c r="P29" s="133"/>
      <c r="Q29" s="133"/>
    </row>
    <row r="30" spans="1:17" ht="24" customHeight="1" x14ac:dyDescent="0.2">
      <c r="A30" s="133"/>
      <c r="B30" s="295"/>
      <c r="C30" s="295"/>
      <c r="D30" s="295"/>
      <c r="E30" s="295"/>
      <c r="F30" s="295"/>
      <c r="G30" s="295"/>
      <c r="H30" s="295"/>
      <c r="I30" s="295"/>
      <c r="J30" s="295"/>
      <c r="K30" s="295"/>
      <c r="L30" s="295"/>
      <c r="M30" s="134"/>
      <c r="N30" s="133"/>
      <c r="O30" s="133"/>
      <c r="P30" s="133"/>
      <c r="Q30" s="133"/>
    </row>
    <row r="31" spans="1:17" ht="15.75" customHeight="1" x14ac:dyDescent="0.2">
      <c r="A31" s="133"/>
      <c r="B31" s="212"/>
      <c r="C31" s="212"/>
      <c r="D31" s="212"/>
      <c r="E31" s="212"/>
      <c r="F31" s="212"/>
      <c r="G31" s="212"/>
      <c r="H31" s="212"/>
      <c r="I31" s="212"/>
      <c r="J31" s="212"/>
      <c r="K31" s="212"/>
      <c r="L31" s="212"/>
      <c r="M31" s="134"/>
      <c r="N31" s="133"/>
      <c r="O31" s="133"/>
      <c r="P31" s="133"/>
      <c r="Q31" s="133"/>
    </row>
    <row r="32" spans="1:17" ht="24" customHeight="1" x14ac:dyDescent="0.2">
      <c r="A32" s="133"/>
      <c r="B32" s="311">
        <v>20</v>
      </c>
      <c r="C32" s="311"/>
      <c r="D32" s="311"/>
      <c r="E32" s="311"/>
      <c r="F32" s="311"/>
      <c r="G32" s="311"/>
      <c r="H32" s="311"/>
      <c r="I32" s="311"/>
      <c r="J32" s="311"/>
      <c r="K32" s="311"/>
      <c r="L32" s="311"/>
      <c r="M32" s="134"/>
      <c r="N32" s="133"/>
      <c r="O32" s="133"/>
      <c r="P32" s="133"/>
      <c r="Q32" s="133"/>
    </row>
    <row r="33" spans="1:17" ht="24" customHeight="1" x14ac:dyDescent="0.2">
      <c r="A33" s="133"/>
      <c r="B33" s="50"/>
      <c r="C33" s="134"/>
      <c r="D33" s="134"/>
      <c r="E33" s="134"/>
      <c r="F33" s="134"/>
      <c r="G33" s="134"/>
      <c r="H33" s="134"/>
      <c r="I33" s="134"/>
      <c r="J33" s="134"/>
      <c r="K33" s="134"/>
      <c r="L33" s="134"/>
      <c r="M33" s="134"/>
      <c r="N33" s="133"/>
      <c r="O33" s="133"/>
      <c r="P33" s="133"/>
      <c r="Q33" s="133"/>
    </row>
    <row r="34" spans="1:17" ht="24" customHeight="1" x14ac:dyDescent="0.2">
      <c r="A34" s="133"/>
      <c r="B34" s="50"/>
      <c r="C34" s="134"/>
      <c r="D34" s="134"/>
      <c r="E34" s="134"/>
      <c r="F34" s="134"/>
      <c r="G34" s="134"/>
      <c r="H34" s="134"/>
      <c r="I34" s="134"/>
      <c r="J34" s="134"/>
      <c r="K34" s="134"/>
      <c r="L34" s="134"/>
      <c r="M34" s="140"/>
      <c r="N34" s="133"/>
      <c r="O34" s="133"/>
      <c r="P34" s="133"/>
      <c r="Q34" s="133"/>
    </row>
    <row r="35" spans="1:17" ht="24" customHeight="1" x14ac:dyDescent="0.2">
      <c r="A35" s="133"/>
      <c r="B35" s="50"/>
      <c r="C35" s="134"/>
      <c r="D35" s="134"/>
      <c r="E35" s="134"/>
      <c r="F35" s="134"/>
      <c r="G35" s="134"/>
      <c r="H35" s="134"/>
      <c r="I35" s="134"/>
      <c r="J35" s="134"/>
      <c r="K35" s="134"/>
      <c r="L35" s="134"/>
      <c r="M35" s="140"/>
      <c r="N35" s="133"/>
      <c r="O35" s="133"/>
      <c r="P35" s="133"/>
      <c r="Q35" s="133"/>
    </row>
    <row r="36" spans="1:17" ht="24" customHeight="1" x14ac:dyDescent="0.2">
      <c r="A36" s="133"/>
      <c r="B36" s="50"/>
      <c r="C36" s="124"/>
      <c r="D36" s="124"/>
      <c r="E36" s="124"/>
      <c r="F36" s="124"/>
      <c r="G36" s="124"/>
      <c r="H36" s="124"/>
      <c r="I36" s="124"/>
      <c r="J36" s="124"/>
      <c r="K36" s="124"/>
      <c r="L36" s="124"/>
      <c r="M36" s="38"/>
    </row>
    <row r="37" spans="1:17" ht="24" customHeight="1" x14ac:dyDescent="0.2">
      <c r="A37" s="133"/>
      <c r="B37" s="50"/>
      <c r="C37" s="38"/>
      <c r="D37" s="38"/>
      <c r="E37" s="38"/>
      <c r="F37" s="38"/>
      <c r="G37" s="38"/>
      <c r="H37" s="38"/>
      <c r="I37" s="38"/>
      <c r="J37" s="38"/>
      <c r="K37" s="38"/>
      <c r="L37" s="38"/>
      <c r="M37" s="38"/>
    </row>
    <row r="38" spans="1:17" ht="20.100000000000001" customHeight="1" x14ac:dyDescent="0.2">
      <c r="A38" s="133"/>
      <c r="B38" s="50"/>
      <c r="C38" s="38"/>
      <c r="D38" s="38"/>
      <c r="E38" s="38"/>
      <c r="F38" s="38"/>
      <c r="G38" s="38"/>
      <c r="H38" s="38"/>
      <c r="I38" s="38"/>
      <c r="J38" s="38"/>
      <c r="K38" s="38"/>
      <c r="L38" s="38"/>
      <c r="M38" s="38"/>
    </row>
    <row r="39" spans="1:17" ht="20.100000000000001" customHeight="1" x14ac:dyDescent="0.2">
      <c r="A39" s="133"/>
      <c r="B39" s="50"/>
      <c r="C39" s="38"/>
      <c r="D39" s="38"/>
      <c r="E39" s="38"/>
      <c r="F39" s="38"/>
      <c r="G39" s="38"/>
      <c r="H39" s="38"/>
      <c r="I39" s="38"/>
      <c r="J39" s="38"/>
      <c r="K39" s="38"/>
      <c r="L39" s="38"/>
      <c r="M39" s="38"/>
    </row>
    <row r="40" spans="1:17" ht="20.100000000000001" customHeight="1" x14ac:dyDescent="0.2">
      <c r="B40" s="50"/>
      <c r="C40" s="38"/>
      <c r="D40" s="38"/>
      <c r="F40" s="38"/>
      <c r="G40" s="38"/>
      <c r="I40" s="38"/>
      <c r="J40" s="38"/>
      <c r="L40" s="38"/>
    </row>
    <row r="41" spans="1:17" ht="17.25" customHeight="1" x14ac:dyDescent="0.2">
      <c r="A41" s="133"/>
      <c r="B41" s="50"/>
      <c r="C41" s="38"/>
      <c r="D41" s="38"/>
      <c r="E41" s="53"/>
      <c r="F41" s="38"/>
      <c r="G41" s="38"/>
      <c r="H41" s="53"/>
      <c r="I41" s="38"/>
      <c r="J41" s="38"/>
      <c r="K41" s="38"/>
      <c r="L41" s="38"/>
      <c r="M41" s="38"/>
    </row>
    <row r="42" spans="1:17" ht="26.25" customHeight="1" x14ac:dyDescent="0.2">
      <c r="A42" s="133"/>
      <c r="B42" s="50"/>
      <c r="C42" s="124"/>
      <c r="D42" s="124"/>
      <c r="E42" s="53"/>
      <c r="F42" s="124"/>
      <c r="G42" s="124"/>
      <c r="H42" s="53"/>
      <c r="I42" s="38"/>
      <c r="J42" s="38"/>
      <c r="K42" s="53"/>
      <c r="L42" s="38"/>
      <c r="M42" s="53"/>
    </row>
    <row r="43" spans="1:17" x14ac:dyDescent="0.2">
      <c r="I43" s="38"/>
      <c r="J43" s="38"/>
    </row>
    <row r="44" spans="1:17" x14ac:dyDescent="0.2">
      <c r="I44" s="38"/>
      <c r="J44" s="38"/>
    </row>
    <row r="45" spans="1:17" x14ac:dyDescent="0.2">
      <c r="I45" s="38"/>
      <c r="J45" s="38"/>
    </row>
    <row r="46" spans="1:17" x14ac:dyDescent="0.2">
      <c r="I46" s="38"/>
      <c r="J46" s="38"/>
    </row>
    <row r="47" spans="1:17" x14ac:dyDescent="0.2">
      <c r="I47" s="38"/>
      <c r="J47" s="38"/>
    </row>
    <row r="48" spans="1:17" x14ac:dyDescent="0.2">
      <c r="I48" s="38"/>
      <c r="J48" s="38"/>
    </row>
    <row r="244" spans="1:2" x14ac:dyDescent="0.2">
      <c r="A244" s="133"/>
      <c r="B244" s="39"/>
    </row>
    <row r="245" spans="1:2" x14ac:dyDescent="0.2">
      <c r="A245" s="133"/>
      <c r="B245" s="39"/>
    </row>
    <row r="246" spans="1:2" x14ac:dyDescent="0.2">
      <c r="A246" s="133"/>
      <c r="B246" s="39"/>
    </row>
    <row r="247" spans="1:2" x14ac:dyDescent="0.2">
      <c r="A247" s="133"/>
      <c r="B247" s="39"/>
    </row>
    <row r="248" spans="1:2" x14ac:dyDescent="0.2">
      <c r="A248" s="133"/>
      <c r="B248" s="39"/>
    </row>
    <row r="249" spans="1:2" x14ac:dyDescent="0.2">
      <c r="A249" s="133"/>
      <c r="B249" s="39"/>
    </row>
    <row r="250" spans="1:2" x14ac:dyDescent="0.2">
      <c r="A250" s="133"/>
      <c r="B250" s="39"/>
    </row>
    <row r="251" spans="1:2" x14ac:dyDescent="0.2">
      <c r="A251" s="133"/>
      <c r="B251" s="39"/>
    </row>
    <row r="252" spans="1:2" x14ac:dyDescent="0.2">
      <c r="A252" s="133"/>
      <c r="B252" s="39"/>
    </row>
    <row r="253" spans="1:2" x14ac:dyDescent="0.2">
      <c r="A253" s="133"/>
      <c r="B253" s="39"/>
    </row>
    <row r="254" spans="1:2" x14ac:dyDescent="0.2">
      <c r="A254" s="133"/>
      <c r="B254" s="39"/>
    </row>
    <row r="255" spans="1:2" x14ac:dyDescent="0.2">
      <c r="A255" s="133"/>
      <c r="B255" s="39"/>
    </row>
    <row r="256" spans="1:2" x14ac:dyDescent="0.2">
      <c r="A256" s="133"/>
      <c r="B256" s="39"/>
    </row>
    <row r="257" spans="1:2" x14ac:dyDescent="0.2">
      <c r="A257" s="133"/>
      <c r="B257" s="39"/>
    </row>
    <row r="258" spans="1:2" x14ac:dyDescent="0.2">
      <c r="A258" s="133"/>
      <c r="B258" s="39"/>
    </row>
    <row r="259" spans="1:2" x14ac:dyDescent="0.2">
      <c r="A259" s="133"/>
      <c r="B259" s="39"/>
    </row>
  </sheetData>
  <customSheetViews>
    <customSheetView guid="{77FE9A31-615C-11D9-8076-000F3DEC765A}" showPageBreaks="1" printArea="1" showRuler="0">
      <selection activeCell="B8" sqref="B8"/>
      <pageMargins left="0" right="0.55118110236220474" top="0" bottom="0" header="0.51181102362204722" footer="0.51181102362204722"/>
      <pageSetup paperSize="9" orientation="portrait" r:id="rId1"/>
      <headerFooter alignWithMargins="0">
        <oddFooter>&amp;Cصفحه(42)</oddFooter>
      </headerFooter>
    </customSheetView>
    <customSheetView guid="{8BABEDE0-61D1-11D9-A0C2-0080AD86BB50}" showRuler="0">
      <selection activeCell="B8" sqref="B8"/>
      <pageMargins left="0" right="0.55118110236220474" top="0" bottom="0" header="0.51181102362204722" footer="0.51181102362204722"/>
      <pageSetup paperSize="9" orientation="portrait" r:id="rId2"/>
      <headerFooter alignWithMargins="0">
        <oddFooter>&amp;Cصفحه(42)</oddFooter>
      </headerFooter>
    </customSheetView>
  </customSheetViews>
  <mergeCells count="9">
    <mergeCell ref="B32:L32"/>
    <mergeCell ref="I2:M2"/>
    <mergeCell ref="C3:D3"/>
    <mergeCell ref="F3:G3"/>
    <mergeCell ref="C2:G2"/>
    <mergeCell ref="I3:J3"/>
    <mergeCell ref="L3:M3"/>
    <mergeCell ref="B27:L28"/>
    <mergeCell ref="B29:L30"/>
  </mergeCells>
  <phoneticPr fontId="0" type="noConversion"/>
  <printOptions horizontalCentered="1"/>
  <pageMargins left="0.59055118110236227" right="0.59055118110236227" top="1.4566929133858268" bottom="0.39370078740157483" header="0.39370078740157483" footer="0.51181102362204722"/>
  <pageSetup paperSize="9" orientation="portrait" blackAndWhite="1"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rightToLeft="1" topLeftCell="B1" zoomScaleSheetLayoutView="85" workbookViewId="0">
      <selection activeCell="E10" sqref="E10"/>
    </sheetView>
  </sheetViews>
  <sheetFormatPr defaultRowHeight="22.5" x14ac:dyDescent="0.2"/>
  <cols>
    <col min="1" max="1" width="46.5703125" style="24" hidden="1" customWidth="1"/>
    <col min="2" max="2" width="6.140625" style="16" customWidth="1"/>
    <col min="3" max="3" width="58.7109375" style="16" customWidth="1"/>
    <col min="4" max="4" width="11.7109375" style="16" customWidth="1"/>
    <col min="5" max="5" width="12.5703125" style="16" hidden="1" customWidth="1"/>
    <col min="6" max="6" width="1.85546875" style="24" customWidth="1"/>
    <col min="7" max="7" width="12" style="16" customWidth="1"/>
    <col min="8" max="8" width="12.5703125" style="16" hidden="1" customWidth="1"/>
    <col min="9" max="9" width="14.5703125" style="16" bestFit="1" customWidth="1"/>
    <col min="10" max="10" width="11.5703125" style="16" customWidth="1"/>
    <col min="11" max="11" width="13.28515625" style="16" customWidth="1"/>
    <col min="12" max="14" width="9.140625" style="16"/>
    <col min="15" max="16384" width="9.140625" style="24"/>
  </cols>
  <sheetData>
    <row r="1" spans="1:16" s="16" customFormat="1" ht="21.75" customHeight="1" x14ac:dyDescent="0.2">
      <c r="B1" s="28" t="s">
        <v>18</v>
      </c>
      <c r="C1" s="66" t="s">
        <v>186</v>
      </c>
      <c r="D1" s="23"/>
      <c r="E1" s="23"/>
      <c r="F1" s="43"/>
      <c r="G1" s="43"/>
      <c r="H1" s="43"/>
      <c r="O1" s="24"/>
      <c r="P1" s="24"/>
    </row>
    <row r="2" spans="1:16" s="16" customFormat="1" ht="20.25" customHeight="1" x14ac:dyDescent="0.2">
      <c r="B2" s="141"/>
      <c r="C2" s="23" t="s">
        <v>26</v>
      </c>
      <c r="D2" s="23"/>
      <c r="E2" s="23"/>
      <c r="F2" s="43"/>
      <c r="G2" s="43"/>
      <c r="H2" s="43"/>
      <c r="O2" s="24"/>
      <c r="P2" s="24"/>
    </row>
    <row r="3" spans="1:16" s="16" customFormat="1" ht="17.25" customHeight="1" x14ac:dyDescent="0.2">
      <c r="C3" s="23"/>
      <c r="D3" s="313">
        <v>1389</v>
      </c>
      <c r="E3" s="313"/>
      <c r="F3" s="53"/>
      <c r="G3" s="313">
        <v>1388</v>
      </c>
      <c r="H3" s="313"/>
      <c r="O3" s="24"/>
      <c r="P3" s="24"/>
    </row>
    <row r="4" spans="1:16" s="16" customFormat="1" ht="18.75" customHeight="1" x14ac:dyDescent="0.55000000000000004">
      <c r="C4" s="23"/>
      <c r="D4" s="230" t="s">
        <v>132</v>
      </c>
      <c r="E4" s="230" t="s">
        <v>120</v>
      </c>
      <c r="F4" s="214"/>
      <c r="G4" s="230" t="s">
        <v>132</v>
      </c>
      <c r="H4" s="125" t="s">
        <v>120</v>
      </c>
      <c r="O4" s="24"/>
      <c r="P4" s="24"/>
    </row>
    <row r="5" spans="1:16" s="16" customFormat="1" ht="21.75" customHeight="1" x14ac:dyDescent="0.2">
      <c r="A5" s="16" t="s">
        <v>187</v>
      </c>
      <c r="C5" s="23" t="s">
        <v>23</v>
      </c>
      <c r="D5" s="134">
        <v>830</v>
      </c>
      <c r="E5" s="134"/>
      <c r="F5" s="134"/>
      <c r="G5" s="134">
        <v>652</v>
      </c>
      <c r="H5" s="134">
        <v>88153200</v>
      </c>
      <c r="I5" s="47"/>
      <c r="O5" s="24"/>
      <c r="P5" s="24"/>
    </row>
    <row r="6" spans="1:16" s="16" customFormat="1" ht="21.75" customHeight="1" x14ac:dyDescent="0.2">
      <c r="C6" s="23" t="s">
        <v>254</v>
      </c>
      <c r="D6" s="134">
        <v>27</v>
      </c>
      <c r="E6" s="134"/>
      <c r="F6" s="134"/>
      <c r="G6" s="134">
        <v>24</v>
      </c>
      <c r="H6" s="134"/>
      <c r="I6" s="47"/>
      <c r="O6" s="24"/>
      <c r="P6" s="24"/>
    </row>
    <row r="7" spans="1:16" s="16" customFormat="1" ht="21.75" customHeight="1" x14ac:dyDescent="0.2">
      <c r="C7" s="23" t="s">
        <v>24</v>
      </c>
      <c r="D7" s="134">
        <v>49</v>
      </c>
      <c r="E7" s="134"/>
      <c r="F7" s="134"/>
      <c r="G7" s="134">
        <v>37</v>
      </c>
      <c r="H7" s="134"/>
      <c r="I7" s="47"/>
      <c r="O7" s="24"/>
      <c r="P7" s="24"/>
    </row>
    <row r="8" spans="1:16" s="16" customFormat="1" ht="21.75" customHeight="1" x14ac:dyDescent="0.2">
      <c r="C8" s="23" t="s">
        <v>88</v>
      </c>
      <c r="D8" s="134">
        <v>38</v>
      </c>
      <c r="E8" s="134"/>
      <c r="F8" s="134"/>
      <c r="G8" s="134">
        <v>58</v>
      </c>
      <c r="H8" s="134"/>
      <c r="I8" s="47"/>
      <c r="O8" s="24"/>
      <c r="P8" s="24"/>
    </row>
    <row r="9" spans="1:16" s="16" customFormat="1" ht="21.75" customHeight="1" x14ac:dyDescent="0.2">
      <c r="C9" s="23" t="s">
        <v>164</v>
      </c>
      <c r="D9" s="134">
        <v>102</v>
      </c>
      <c r="E9" s="134"/>
      <c r="F9" s="134"/>
      <c r="G9" s="134">
        <v>66</v>
      </c>
      <c r="H9" s="134"/>
      <c r="I9" s="47"/>
      <c r="O9" s="24"/>
      <c r="P9" s="24"/>
    </row>
    <row r="10" spans="1:16" s="16" customFormat="1" ht="21.75" customHeight="1" x14ac:dyDescent="0.2">
      <c r="C10" s="23" t="s">
        <v>166</v>
      </c>
      <c r="D10" s="134">
        <v>211</v>
      </c>
      <c r="E10" s="134"/>
      <c r="F10" s="134"/>
      <c r="G10" s="134">
        <v>160</v>
      </c>
      <c r="H10" s="134"/>
      <c r="I10" s="47"/>
      <c r="O10" s="24"/>
      <c r="P10" s="24"/>
    </row>
    <row r="11" spans="1:16" s="16" customFormat="1" ht="21.75" customHeight="1" x14ac:dyDescent="0.2">
      <c r="A11" s="16" t="s">
        <v>188</v>
      </c>
      <c r="C11" s="23" t="s">
        <v>62</v>
      </c>
      <c r="D11" s="134">
        <f>36+138</f>
        <v>174</v>
      </c>
      <c r="E11" s="134"/>
      <c r="F11" s="134"/>
      <c r="G11" s="134">
        <f>39+26+6</f>
        <v>71</v>
      </c>
      <c r="H11" s="134">
        <v>7983700</v>
      </c>
      <c r="I11" s="47"/>
      <c r="O11" s="24"/>
      <c r="P11" s="24"/>
    </row>
    <row r="12" spans="1:16" s="16" customFormat="1" ht="21.75" customHeight="1" x14ac:dyDescent="0.2">
      <c r="A12" s="16" t="s">
        <v>189</v>
      </c>
      <c r="C12" s="23" t="s">
        <v>167</v>
      </c>
      <c r="D12" s="134">
        <v>63</v>
      </c>
      <c r="E12" s="134"/>
      <c r="F12" s="134"/>
      <c r="G12" s="134">
        <v>2</v>
      </c>
      <c r="H12" s="134">
        <v>23241680</v>
      </c>
      <c r="I12" s="47"/>
      <c r="O12" s="24"/>
      <c r="P12" s="24"/>
    </row>
    <row r="13" spans="1:16" s="16" customFormat="1" ht="21.75" customHeight="1" x14ac:dyDescent="0.2">
      <c r="A13" s="16" t="s">
        <v>190</v>
      </c>
      <c r="C13" s="142" t="s">
        <v>255</v>
      </c>
      <c r="D13" s="134">
        <v>66</v>
      </c>
      <c r="E13" s="134"/>
      <c r="F13" s="134"/>
      <c r="G13" s="134">
        <f>3+78</f>
        <v>81</v>
      </c>
      <c r="H13" s="134">
        <v>7450259</v>
      </c>
      <c r="I13" s="47"/>
      <c r="O13" s="24"/>
      <c r="P13" s="24"/>
    </row>
    <row r="14" spans="1:16" s="16" customFormat="1" ht="21.75" customHeight="1" x14ac:dyDescent="0.2">
      <c r="A14" s="16" t="s">
        <v>191</v>
      </c>
      <c r="C14" s="142" t="s">
        <v>165</v>
      </c>
      <c r="D14" s="134">
        <v>38</v>
      </c>
      <c r="E14" s="134"/>
      <c r="F14" s="134"/>
      <c r="G14" s="205">
        <v>0</v>
      </c>
      <c r="H14" s="134">
        <v>13372423</v>
      </c>
      <c r="I14" s="47"/>
      <c r="O14" s="24"/>
      <c r="P14" s="24"/>
    </row>
    <row r="15" spans="1:16" s="16" customFormat="1" ht="21.75" customHeight="1" x14ac:dyDescent="0.2">
      <c r="A15" s="16" t="s">
        <v>192</v>
      </c>
      <c r="C15" s="23" t="s">
        <v>251</v>
      </c>
      <c r="D15" s="134">
        <f>29+89+2+3</f>
        <v>123</v>
      </c>
      <c r="E15" s="134"/>
      <c r="F15" s="134"/>
      <c r="G15" s="134">
        <f>29+195+50</f>
        <v>274</v>
      </c>
      <c r="H15" s="134">
        <v>3282950</v>
      </c>
      <c r="I15" s="47"/>
      <c r="O15" s="24"/>
      <c r="P15" s="24"/>
    </row>
    <row r="16" spans="1:16" s="16" customFormat="1" ht="21.75" customHeight="1" x14ac:dyDescent="0.2">
      <c r="C16" s="23" t="s">
        <v>317</v>
      </c>
      <c r="D16" s="134">
        <f>117+7</f>
        <v>124</v>
      </c>
      <c r="E16" s="134"/>
      <c r="F16" s="134"/>
      <c r="G16" s="134">
        <v>26</v>
      </c>
      <c r="H16" s="134"/>
      <c r="I16" s="47"/>
      <c r="O16" s="24"/>
      <c r="P16" s="24"/>
    </row>
    <row r="17" spans="1:16" s="16" customFormat="1" ht="21.75" customHeight="1" x14ac:dyDescent="0.2">
      <c r="C17" s="23" t="s">
        <v>319</v>
      </c>
      <c r="D17" s="134">
        <f>62+26+620</f>
        <v>708</v>
      </c>
      <c r="E17" s="134"/>
      <c r="F17" s="134"/>
      <c r="G17" s="134">
        <v>48</v>
      </c>
      <c r="H17" s="134"/>
      <c r="I17" s="47"/>
      <c r="O17" s="24"/>
      <c r="P17" s="24"/>
    </row>
    <row r="18" spans="1:16" s="16" customFormat="1" ht="21.75" customHeight="1" x14ac:dyDescent="0.2">
      <c r="C18" s="23" t="s">
        <v>318</v>
      </c>
      <c r="D18" s="134">
        <v>554</v>
      </c>
      <c r="E18" s="134"/>
      <c r="F18" s="134"/>
      <c r="G18" s="205">
        <v>0</v>
      </c>
      <c r="H18" s="134"/>
      <c r="I18" s="47"/>
      <c r="O18" s="24"/>
      <c r="P18" s="24"/>
    </row>
    <row r="19" spans="1:16" ht="21.75" customHeight="1" x14ac:dyDescent="0.2">
      <c r="C19" s="23" t="s">
        <v>257</v>
      </c>
      <c r="D19" s="134">
        <f>139+22+30+17+2</f>
        <v>210</v>
      </c>
      <c r="E19" s="134"/>
      <c r="F19" s="134"/>
      <c r="G19" s="134">
        <f>206+3+8</f>
        <v>217</v>
      </c>
      <c r="H19" s="134"/>
      <c r="I19" s="47"/>
    </row>
    <row r="20" spans="1:16" ht="21.75" customHeight="1" x14ac:dyDescent="0.2">
      <c r="C20" s="23" t="s">
        <v>320</v>
      </c>
      <c r="D20" s="134">
        <f>41+6+4</f>
        <v>51</v>
      </c>
      <c r="E20" s="134"/>
      <c r="F20" s="134"/>
      <c r="G20" s="134">
        <f>7+3</f>
        <v>10</v>
      </c>
      <c r="H20" s="134"/>
      <c r="I20" s="47"/>
    </row>
    <row r="21" spans="1:16" ht="21.75" customHeight="1" x14ac:dyDescent="0.2">
      <c r="C21" s="23" t="s">
        <v>252</v>
      </c>
      <c r="D21" s="134">
        <f>26+15+4+5</f>
        <v>50</v>
      </c>
      <c r="E21" s="134"/>
      <c r="F21" s="134"/>
      <c r="G21" s="134">
        <f>20+40+40+18</f>
        <v>118</v>
      </c>
      <c r="H21" s="134"/>
      <c r="I21" s="47"/>
    </row>
    <row r="22" spans="1:16" ht="21.75" customHeight="1" x14ac:dyDescent="0.2">
      <c r="C22" s="23" t="s">
        <v>256</v>
      </c>
      <c r="D22" s="134">
        <f>26+3</f>
        <v>29</v>
      </c>
      <c r="E22" s="134"/>
      <c r="F22" s="134"/>
      <c r="G22" s="134">
        <f>4+29+32</f>
        <v>65</v>
      </c>
      <c r="H22" s="134"/>
      <c r="I22" s="47"/>
    </row>
    <row r="23" spans="1:16" ht="21.75" customHeight="1" x14ac:dyDescent="0.2">
      <c r="C23" s="23" t="s">
        <v>321</v>
      </c>
      <c r="D23" s="205">
        <v>0</v>
      </c>
      <c r="E23" s="134"/>
      <c r="F23" s="134"/>
      <c r="G23" s="134">
        <v>57</v>
      </c>
      <c r="H23" s="134"/>
      <c r="I23" s="47"/>
    </row>
    <row r="24" spans="1:16" ht="21.75" customHeight="1" x14ac:dyDescent="0.2">
      <c r="A24" s="24" t="s">
        <v>206</v>
      </c>
      <c r="C24" s="142" t="s">
        <v>0</v>
      </c>
      <c r="D24" s="134">
        <v>338</v>
      </c>
      <c r="E24" s="134"/>
      <c r="F24" s="134"/>
      <c r="G24" s="134">
        <f>372+140</f>
        <v>512</v>
      </c>
      <c r="H24" s="134">
        <v>25039772</v>
      </c>
      <c r="I24" s="47"/>
    </row>
    <row r="25" spans="1:16" ht="19.5" customHeight="1" thickBot="1" x14ac:dyDescent="0.25">
      <c r="C25" s="23"/>
      <c r="D25" s="46">
        <f>SUM(D5:D24)</f>
        <v>3785</v>
      </c>
      <c r="E25" s="46">
        <f>SUM(E5:E24)</f>
        <v>0</v>
      </c>
      <c r="F25" s="45"/>
      <c r="G25" s="46">
        <f>SUM(G5:G24)</f>
        <v>2478</v>
      </c>
      <c r="H25" s="46">
        <f>SUM(H5:H24)</f>
        <v>168523984</v>
      </c>
    </row>
    <row r="26" spans="1:16" ht="9.75" customHeight="1" thickTop="1" x14ac:dyDescent="0.2">
      <c r="C26" s="23"/>
      <c r="D26" s="45"/>
      <c r="E26" s="45"/>
      <c r="F26" s="45"/>
      <c r="G26" s="45"/>
      <c r="H26" s="45"/>
    </row>
    <row r="27" spans="1:16" ht="21.75" customHeight="1" x14ac:dyDescent="0.2">
      <c r="C27" s="270" t="s">
        <v>397</v>
      </c>
      <c r="D27" s="270"/>
      <c r="E27" s="270"/>
      <c r="F27" s="270"/>
      <c r="G27" s="270"/>
    </row>
    <row r="28" spans="1:16" ht="21.75" customHeight="1" x14ac:dyDescent="0.2">
      <c r="C28" s="270"/>
      <c r="D28" s="270"/>
      <c r="E28" s="270"/>
      <c r="F28" s="270"/>
      <c r="G28" s="270"/>
    </row>
    <row r="29" spans="1:16" ht="24" customHeight="1" x14ac:dyDescent="0.2">
      <c r="B29" s="141"/>
      <c r="C29" s="258"/>
      <c r="D29" s="258"/>
      <c r="E29" s="258"/>
      <c r="F29" s="258"/>
      <c r="G29" s="258"/>
      <c r="H29" s="45"/>
      <c r="I29" s="24"/>
      <c r="J29" s="24"/>
      <c r="K29" s="24"/>
      <c r="L29" s="24"/>
      <c r="M29" s="24"/>
      <c r="N29" s="24"/>
    </row>
    <row r="30" spans="1:16" ht="24" customHeight="1" x14ac:dyDescent="0.2">
      <c r="B30" s="141"/>
      <c r="C30" s="258"/>
      <c r="D30" s="258"/>
      <c r="E30" s="258"/>
      <c r="F30" s="258"/>
      <c r="G30" s="258"/>
      <c r="H30" s="45"/>
      <c r="I30" s="24"/>
      <c r="J30" s="24"/>
      <c r="K30" s="24"/>
      <c r="L30" s="24"/>
      <c r="M30" s="24"/>
      <c r="N30" s="24"/>
    </row>
    <row r="31" spans="1:16" ht="24" customHeight="1" x14ac:dyDescent="0.2">
      <c r="B31" s="141"/>
      <c r="C31" s="258"/>
      <c r="D31" s="258"/>
      <c r="E31" s="258"/>
      <c r="F31" s="258"/>
      <c r="G31" s="258"/>
      <c r="H31" s="45"/>
      <c r="I31" s="24"/>
      <c r="J31" s="24"/>
      <c r="K31" s="24"/>
      <c r="L31" s="24"/>
      <c r="M31" s="24"/>
      <c r="N31" s="24"/>
    </row>
    <row r="32" spans="1:16" ht="24" customHeight="1" x14ac:dyDescent="0.2">
      <c r="B32" s="141"/>
      <c r="C32" s="258"/>
      <c r="D32" s="258"/>
      <c r="E32" s="258"/>
      <c r="F32" s="258"/>
      <c r="G32" s="258"/>
      <c r="H32" s="45"/>
      <c r="I32" s="24"/>
      <c r="J32" s="24"/>
      <c r="K32" s="24"/>
      <c r="L32" s="24"/>
      <c r="M32" s="24"/>
      <c r="N32" s="24"/>
    </row>
    <row r="33" spans="2:14" ht="24" customHeight="1" x14ac:dyDescent="0.2">
      <c r="B33" s="141"/>
      <c r="C33" s="258"/>
      <c r="D33" s="258"/>
      <c r="E33" s="258"/>
      <c r="F33" s="258"/>
      <c r="G33" s="258"/>
      <c r="H33" s="45"/>
      <c r="I33" s="24"/>
      <c r="J33" s="24"/>
      <c r="K33" s="24"/>
      <c r="L33" s="24"/>
      <c r="M33" s="24"/>
      <c r="N33" s="24"/>
    </row>
    <row r="34" spans="2:14" ht="24" customHeight="1" x14ac:dyDescent="0.2">
      <c r="B34" s="292">
        <v>21</v>
      </c>
      <c r="C34" s="292"/>
      <c r="D34" s="292"/>
      <c r="E34" s="292"/>
      <c r="F34" s="292"/>
      <c r="G34" s="292"/>
      <c r="I34" s="68"/>
      <c r="J34" s="68"/>
      <c r="K34" s="68"/>
      <c r="L34" s="68"/>
      <c r="M34" s="24"/>
      <c r="N34" s="24"/>
    </row>
    <row r="35" spans="2:14" ht="24" customHeight="1" x14ac:dyDescent="0.2">
      <c r="B35" s="24"/>
      <c r="C35" s="24"/>
      <c r="D35" s="24"/>
      <c r="E35" s="24"/>
      <c r="G35" s="24"/>
      <c r="H35" s="24"/>
      <c r="I35" s="24"/>
      <c r="J35" s="24"/>
      <c r="K35" s="24"/>
      <c r="L35" s="24"/>
      <c r="M35" s="24"/>
      <c r="N35" s="24"/>
    </row>
    <row r="36" spans="2:14" ht="24" customHeight="1" x14ac:dyDescent="0.2">
      <c r="B36" s="24"/>
      <c r="C36" s="24"/>
      <c r="D36" s="24"/>
      <c r="E36" s="24"/>
      <c r="G36" s="24"/>
      <c r="H36" s="24"/>
      <c r="I36" s="24"/>
      <c r="J36" s="24"/>
      <c r="K36" s="24"/>
      <c r="L36" s="24"/>
      <c r="M36" s="24"/>
      <c r="N36" s="24"/>
    </row>
    <row r="37" spans="2:14" ht="24" customHeight="1" x14ac:dyDescent="0.2">
      <c r="C37" s="24"/>
      <c r="D37" s="24"/>
      <c r="E37" s="24"/>
      <c r="G37" s="24"/>
      <c r="H37" s="24"/>
    </row>
    <row r="38" spans="2:14" ht="24" customHeight="1" x14ac:dyDescent="0.2">
      <c r="C38" s="24"/>
      <c r="D38" s="24"/>
      <c r="E38" s="24"/>
      <c r="G38" s="24"/>
      <c r="H38" s="24"/>
    </row>
    <row r="39" spans="2:14" ht="24" customHeight="1" x14ac:dyDescent="0.2">
      <c r="C39" s="24"/>
      <c r="D39" s="24"/>
      <c r="E39" s="24"/>
      <c r="G39" s="24"/>
      <c r="H39" s="24"/>
    </row>
    <row r="40" spans="2:14" ht="24" customHeight="1" x14ac:dyDescent="0.2">
      <c r="C40" s="24"/>
      <c r="D40" s="24"/>
      <c r="E40" s="24"/>
      <c r="G40" s="24"/>
      <c r="H40" s="24"/>
    </row>
    <row r="41" spans="2:14" ht="24" customHeight="1" x14ac:dyDescent="0.2">
      <c r="C41" s="24"/>
      <c r="D41" s="24"/>
      <c r="E41" s="24"/>
      <c r="G41" s="24"/>
      <c r="H41" s="24"/>
    </row>
    <row r="42" spans="2:14" ht="24" customHeight="1" x14ac:dyDescent="0.2">
      <c r="C42" s="24"/>
      <c r="D42" s="24"/>
      <c r="E42" s="24"/>
      <c r="G42" s="24"/>
      <c r="H42" s="24"/>
    </row>
    <row r="43" spans="2:14" ht="24" customHeight="1" x14ac:dyDescent="0.2"/>
    <row r="44" spans="2:14" ht="24" customHeight="1" x14ac:dyDescent="0.2"/>
    <row r="45" spans="2:14" ht="24" customHeight="1" x14ac:dyDescent="0.2"/>
    <row r="46" spans="2:14" ht="24" customHeight="1" x14ac:dyDescent="0.2"/>
    <row r="47" spans="2:14" ht="24" customHeight="1" x14ac:dyDescent="0.2"/>
    <row r="48" spans="2:14"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sheetData>
  <mergeCells count="4">
    <mergeCell ref="D3:E3"/>
    <mergeCell ref="G3:H3"/>
    <mergeCell ref="B34:G34"/>
    <mergeCell ref="C27:G28"/>
  </mergeCells>
  <printOptions horizontalCentered="1"/>
  <pageMargins left="0.59055118110236227" right="0.59055118110236227" top="1.3779527559055118" bottom="0.39370078740157483" header="0.39370078740157483" footer="0.51181102362204722"/>
  <pageSetup paperSize="9" fitToHeight="2" orientation="portrait"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rightToLeft="1" zoomScaleSheetLayoutView="85" workbookViewId="0">
      <selection activeCell="E10" sqref="E10"/>
    </sheetView>
  </sheetViews>
  <sheetFormatPr defaultRowHeight="22.5" x14ac:dyDescent="0.2"/>
  <cols>
    <col min="1" max="1" width="5.42578125" style="16" bestFit="1" customWidth="1"/>
    <col min="2" max="2" width="27.42578125" style="16" customWidth="1"/>
    <col min="3" max="3" width="9.7109375" style="16" customWidth="1"/>
    <col min="4" max="4" width="1.85546875" style="16" customWidth="1"/>
    <col min="5" max="5" width="9.7109375" style="16" bestFit="1" customWidth="1"/>
    <col min="6" max="6" width="15.5703125" style="16" hidden="1" customWidth="1"/>
    <col min="7" max="7" width="2" style="16" customWidth="1"/>
    <col min="8" max="8" width="10.5703125" style="16" customWidth="1"/>
    <col min="9" max="9" width="1.7109375" style="16" customWidth="1"/>
    <col min="10" max="10" width="12.28515625" style="16" customWidth="1"/>
    <col min="11" max="11" width="2" style="16" customWidth="1"/>
    <col min="12" max="12" width="12.28515625" style="16" customWidth="1"/>
    <col min="13" max="16384" width="9.140625" style="24"/>
  </cols>
  <sheetData>
    <row r="1" spans="1:15" ht="19.5" customHeight="1" x14ac:dyDescent="0.2">
      <c r="A1" s="28" t="s">
        <v>34</v>
      </c>
      <c r="B1" s="66" t="s">
        <v>194</v>
      </c>
      <c r="C1" s="66"/>
      <c r="D1" s="120"/>
      <c r="E1" s="120"/>
      <c r="F1" s="144"/>
      <c r="G1" s="120"/>
      <c r="J1" s="176" t="s">
        <v>200</v>
      </c>
      <c r="K1" s="68"/>
      <c r="L1" s="68"/>
    </row>
    <row r="2" spans="1:15" ht="17.25" customHeight="1" x14ac:dyDescent="0.2">
      <c r="A2" s="24"/>
      <c r="B2" s="120"/>
      <c r="C2" s="229"/>
      <c r="D2" s="231"/>
      <c r="E2" s="231"/>
      <c r="F2" s="53"/>
      <c r="G2" s="231"/>
      <c r="H2" s="217">
        <v>1389</v>
      </c>
      <c r="I2" s="53"/>
      <c r="J2" s="217">
        <v>1388</v>
      </c>
      <c r="K2" s="68"/>
      <c r="L2" s="68"/>
    </row>
    <row r="3" spans="1:15" ht="18" customHeight="1" x14ac:dyDescent="0.55000000000000004">
      <c r="A3" s="24"/>
      <c r="B3" s="120"/>
      <c r="C3" s="229"/>
      <c r="D3" s="152"/>
      <c r="E3" s="152"/>
      <c r="F3" s="214"/>
      <c r="G3" s="152"/>
      <c r="H3" s="125" t="s">
        <v>132</v>
      </c>
      <c r="I3" s="38"/>
      <c r="J3" s="125" t="s">
        <v>132</v>
      </c>
      <c r="K3" s="68"/>
      <c r="L3" s="68"/>
    </row>
    <row r="4" spans="1:15" ht="21" customHeight="1" x14ac:dyDescent="0.55000000000000004">
      <c r="A4" s="24"/>
      <c r="B4" s="232" t="s">
        <v>327</v>
      </c>
      <c r="C4" s="229"/>
      <c r="D4" s="152"/>
      <c r="E4" s="152"/>
      <c r="F4" s="214"/>
      <c r="G4" s="152"/>
      <c r="H4" s="39">
        <v>21</v>
      </c>
      <c r="I4" s="200"/>
      <c r="J4" s="68">
        <v>32</v>
      </c>
      <c r="K4" s="68"/>
      <c r="L4" s="68"/>
    </row>
    <row r="5" spans="1:15" ht="21" customHeight="1" x14ac:dyDescent="0.55000000000000004">
      <c r="A5" s="24"/>
      <c r="B5" s="232" t="s">
        <v>0</v>
      </c>
      <c r="C5" s="229"/>
      <c r="D5" s="152"/>
      <c r="E5" s="152"/>
      <c r="F5" s="214"/>
      <c r="G5" s="152"/>
      <c r="H5" s="39">
        <v>19</v>
      </c>
      <c r="I5" s="200"/>
      <c r="J5" s="68">
        <v>42</v>
      </c>
      <c r="K5" s="68"/>
      <c r="L5" s="68"/>
    </row>
    <row r="6" spans="1:15" ht="16.5" customHeight="1" thickBot="1" x14ac:dyDescent="0.6">
      <c r="A6" s="24"/>
      <c r="B6" s="120"/>
      <c r="C6" s="229"/>
      <c r="D6" s="152"/>
      <c r="E6" s="152"/>
      <c r="F6" s="214"/>
      <c r="G6" s="152"/>
      <c r="H6" s="233">
        <f>SUM(H4:H5)</f>
        <v>40</v>
      </c>
      <c r="I6" s="200"/>
      <c r="J6" s="233">
        <f>SUM(J4:J5)</f>
        <v>74</v>
      </c>
      <c r="K6" s="68"/>
      <c r="L6" s="68"/>
    </row>
    <row r="7" spans="1:15" ht="11.25" customHeight="1" thickTop="1" x14ac:dyDescent="0.55000000000000004">
      <c r="A7" s="24"/>
      <c r="B7" s="120"/>
      <c r="C7" s="229"/>
      <c r="D7" s="152"/>
      <c r="E7" s="152"/>
      <c r="F7" s="214"/>
      <c r="G7" s="152"/>
      <c r="H7" s="52"/>
      <c r="I7" s="200"/>
      <c r="J7" s="68"/>
      <c r="K7" s="68"/>
      <c r="L7" s="68"/>
    </row>
    <row r="8" spans="1:15" ht="18" customHeight="1" x14ac:dyDescent="0.2">
      <c r="A8" s="28" t="s">
        <v>43</v>
      </c>
      <c r="B8" s="66" t="s">
        <v>80</v>
      </c>
      <c r="C8" s="66"/>
      <c r="D8" s="66"/>
    </row>
    <row r="9" spans="1:15" ht="19.5" customHeight="1" x14ac:dyDescent="0.2">
      <c r="A9" s="28"/>
      <c r="B9" s="23" t="s">
        <v>193</v>
      </c>
      <c r="C9" s="23"/>
      <c r="D9" s="23"/>
      <c r="J9" s="176" t="s">
        <v>200</v>
      </c>
    </row>
    <row r="10" spans="1:15" ht="18.75" customHeight="1" x14ac:dyDescent="0.2">
      <c r="A10" s="141"/>
      <c r="B10" s="23"/>
      <c r="C10" s="23"/>
      <c r="D10" s="23"/>
      <c r="E10" s="23"/>
      <c r="F10" s="23"/>
      <c r="G10" s="23"/>
      <c r="H10" s="217">
        <v>1389</v>
      </c>
      <c r="I10" s="53"/>
      <c r="J10" s="209">
        <v>1388</v>
      </c>
      <c r="K10" s="24"/>
      <c r="L10" s="24"/>
      <c r="O10" s="16"/>
    </row>
    <row r="11" spans="1:15" ht="17.25" customHeight="1" x14ac:dyDescent="0.2">
      <c r="B11" s="23"/>
      <c r="C11" s="23"/>
      <c r="D11" s="23"/>
      <c r="E11" s="23"/>
      <c r="F11" s="23"/>
      <c r="G11" s="23"/>
      <c r="H11" s="125" t="s">
        <v>132</v>
      </c>
      <c r="I11" s="38"/>
      <c r="J11" s="125" t="s">
        <v>132</v>
      </c>
      <c r="K11" s="24"/>
      <c r="L11" s="24"/>
      <c r="O11" s="16"/>
    </row>
    <row r="12" spans="1:15" ht="21" customHeight="1" x14ac:dyDescent="0.2">
      <c r="B12" s="23" t="s">
        <v>195</v>
      </c>
      <c r="C12" s="23"/>
      <c r="D12" s="23"/>
      <c r="E12" s="23"/>
      <c r="F12" s="23"/>
      <c r="G12" s="23"/>
      <c r="H12" s="45">
        <f>5989+577</f>
        <v>6566</v>
      </c>
      <c r="I12" s="45"/>
      <c r="J12" s="45">
        <f>1864+10</f>
        <v>1874</v>
      </c>
      <c r="K12" s="24"/>
      <c r="L12" s="24"/>
      <c r="O12" s="16"/>
    </row>
    <row r="13" spans="1:15" ht="21" customHeight="1" x14ac:dyDescent="0.2">
      <c r="B13" s="23" t="s">
        <v>196</v>
      </c>
      <c r="C13" s="23"/>
      <c r="D13" s="23"/>
      <c r="E13" s="23"/>
      <c r="F13" s="23"/>
      <c r="G13" s="23"/>
      <c r="H13" s="45">
        <v>68</v>
      </c>
      <c r="I13" s="45"/>
      <c r="J13" s="183">
        <v>0</v>
      </c>
      <c r="K13" s="24"/>
      <c r="L13" s="24"/>
      <c r="O13" s="16"/>
    </row>
    <row r="14" spans="1:15" ht="18.75" customHeight="1" thickBot="1" x14ac:dyDescent="0.25">
      <c r="B14" s="23"/>
      <c r="C14" s="23"/>
      <c r="D14" s="23"/>
      <c r="E14" s="23"/>
      <c r="F14" s="23"/>
      <c r="G14" s="23"/>
      <c r="H14" s="46">
        <f>SUM(H12:H13)</f>
        <v>6634</v>
      </c>
      <c r="I14" s="45"/>
      <c r="J14" s="46">
        <f>SUM(J12:J13)</f>
        <v>1874</v>
      </c>
      <c r="K14" s="24"/>
      <c r="L14" s="24"/>
      <c r="O14" s="16"/>
    </row>
    <row r="15" spans="1:15" ht="12" customHeight="1" thickTop="1" x14ac:dyDescent="0.2">
      <c r="A15" s="28"/>
      <c r="B15" s="66"/>
      <c r="C15" s="66"/>
      <c r="D15" s="66"/>
      <c r="E15" s="66"/>
      <c r="F15" s="66"/>
      <c r="G15" s="66"/>
      <c r="H15" s="45"/>
      <c r="I15" s="45"/>
      <c r="J15" s="23"/>
      <c r="K15" s="24"/>
      <c r="L15" s="24"/>
      <c r="O15" s="16"/>
    </row>
    <row r="16" spans="1:15" ht="18.75" customHeight="1" x14ac:dyDescent="0.2">
      <c r="A16" s="28" t="s">
        <v>35</v>
      </c>
      <c r="B16" s="66" t="s">
        <v>197</v>
      </c>
      <c r="C16" s="66"/>
      <c r="D16" s="66"/>
      <c r="E16" s="66"/>
      <c r="F16" s="66"/>
      <c r="G16" s="66"/>
      <c r="H16" s="45"/>
      <c r="I16" s="45"/>
      <c r="J16" s="24"/>
      <c r="K16" s="24"/>
      <c r="L16" s="24"/>
      <c r="O16" s="16"/>
    </row>
    <row r="17" spans="1:15" ht="18" customHeight="1" x14ac:dyDescent="0.2">
      <c r="A17" s="141"/>
      <c r="B17" s="23"/>
      <c r="C17" s="23"/>
      <c r="D17" s="23"/>
      <c r="E17" s="23"/>
      <c r="F17" s="23"/>
      <c r="G17" s="23"/>
      <c r="H17" s="209" t="s">
        <v>139</v>
      </c>
      <c r="I17" s="45"/>
      <c r="J17" s="24"/>
      <c r="K17" s="24"/>
      <c r="L17" s="24"/>
      <c r="O17" s="16"/>
    </row>
    <row r="18" spans="1:15" ht="18.75" customHeight="1" x14ac:dyDescent="0.2">
      <c r="A18" s="141"/>
      <c r="B18" s="23"/>
      <c r="C18" s="23"/>
      <c r="D18" s="23"/>
      <c r="E18" s="23"/>
      <c r="F18" s="23"/>
      <c r="G18" s="23"/>
      <c r="H18" s="125" t="s">
        <v>132</v>
      </c>
      <c r="I18" s="45"/>
      <c r="J18" s="24"/>
      <c r="K18" s="24"/>
      <c r="L18" s="24"/>
      <c r="O18" s="16"/>
    </row>
    <row r="19" spans="1:15" ht="20.25" customHeight="1" x14ac:dyDescent="0.2">
      <c r="A19" s="141"/>
      <c r="B19" s="23" t="s">
        <v>352</v>
      </c>
      <c r="C19" s="23"/>
      <c r="D19" s="23"/>
      <c r="E19" s="23"/>
      <c r="F19" s="23"/>
      <c r="G19" s="23"/>
      <c r="H19" s="37">
        <v>116</v>
      </c>
      <c r="I19" s="45"/>
      <c r="J19" s="24"/>
      <c r="K19" s="24"/>
      <c r="L19" s="24"/>
      <c r="O19" s="16"/>
    </row>
    <row r="20" spans="1:15" ht="20.25" customHeight="1" x14ac:dyDescent="0.2">
      <c r="A20" s="141"/>
      <c r="B20" s="23" t="s">
        <v>400</v>
      </c>
      <c r="C20" s="23"/>
      <c r="D20" s="23"/>
      <c r="E20" s="23"/>
      <c r="F20" s="23"/>
      <c r="G20" s="23"/>
      <c r="H20" s="37">
        <v>197</v>
      </c>
      <c r="I20" s="45"/>
      <c r="J20" s="24"/>
      <c r="K20" s="24"/>
      <c r="L20" s="24"/>
      <c r="O20" s="16"/>
    </row>
    <row r="21" spans="1:15" ht="20.25" customHeight="1" x14ac:dyDescent="0.2">
      <c r="A21" s="141"/>
      <c r="B21" s="23" t="s">
        <v>353</v>
      </c>
      <c r="C21" s="23"/>
      <c r="D21" s="23"/>
      <c r="E21" s="23"/>
      <c r="F21" s="23"/>
      <c r="G21" s="23"/>
      <c r="H21" s="37">
        <v>485</v>
      </c>
      <c r="I21" s="45"/>
      <c r="J21" s="24"/>
      <c r="K21" s="24"/>
      <c r="L21" s="24"/>
    </row>
    <row r="22" spans="1:15" ht="20.25" customHeight="1" x14ac:dyDescent="0.2">
      <c r="A22" s="141"/>
      <c r="B22" s="23" t="s">
        <v>401</v>
      </c>
      <c r="C22" s="23"/>
      <c r="D22" s="23"/>
      <c r="E22" s="23"/>
      <c r="F22" s="23"/>
      <c r="G22" s="23"/>
      <c r="H22" s="37">
        <v>39</v>
      </c>
      <c r="I22" s="45"/>
      <c r="J22" s="24"/>
      <c r="K22" s="24"/>
      <c r="L22" s="24"/>
    </row>
    <row r="23" spans="1:15" ht="20.25" customHeight="1" x14ac:dyDescent="0.2">
      <c r="A23" s="141"/>
      <c r="B23" s="23" t="s">
        <v>402</v>
      </c>
      <c r="C23" s="23"/>
      <c r="D23" s="23"/>
      <c r="E23" s="23"/>
      <c r="F23" s="23"/>
      <c r="G23" s="23"/>
      <c r="H23" s="103">
        <v>-42</v>
      </c>
      <c r="I23" s="45"/>
      <c r="J23" s="24"/>
      <c r="K23" s="24"/>
      <c r="L23" s="24"/>
    </row>
    <row r="24" spans="1:15" ht="18" customHeight="1" thickBot="1" x14ac:dyDescent="0.25">
      <c r="A24" s="141"/>
      <c r="B24" s="23"/>
      <c r="C24" s="23"/>
      <c r="D24" s="23"/>
      <c r="E24" s="23"/>
      <c r="F24" s="23"/>
      <c r="G24" s="23"/>
      <c r="H24" s="228">
        <f>SUM(H19:H23)</f>
        <v>795</v>
      </c>
      <c r="I24" s="45"/>
      <c r="J24" s="24"/>
      <c r="K24" s="24"/>
      <c r="L24" s="24"/>
    </row>
    <row r="25" spans="1:15" ht="11.25" customHeight="1" thickTop="1" x14ac:dyDescent="0.2">
      <c r="A25" s="141"/>
      <c r="B25" s="23"/>
      <c r="C25" s="23"/>
      <c r="D25" s="23"/>
      <c r="E25" s="45"/>
      <c r="F25" s="45"/>
      <c r="G25" s="45"/>
      <c r="H25" s="24"/>
      <c r="I25" s="24"/>
      <c r="J25" s="24"/>
      <c r="K25" s="24"/>
      <c r="L25" s="24"/>
    </row>
    <row r="26" spans="1:15" ht="20.25" customHeight="1" x14ac:dyDescent="0.2">
      <c r="A26" s="141"/>
      <c r="B26" s="299" t="s">
        <v>328</v>
      </c>
      <c r="C26" s="299"/>
      <c r="D26" s="299"/>
      <c r="E26" s="299"/>
      <c r="F26" s="299"/>
      <c r="G26" s="299"/>
      <c r="H26" s="299"/>
      <c r="I26" s="299"/>
      <c r="J26" s="299"/>
      <c r="K26" s="299"/>
      <c r="L26" s="299"/>
    </row>
    <row r="27" spans="1:15" ht="21" customHeight="1" x14ac:dyDescent="0.2">
      <c r="A27" s="141"/>
      <c r="B27" s="299"/>
      <c r="C27" s="299"/>
      <c r="D27" s="299"/>
      <c r="E27" s="299"/>
      <c r="F27" s="299"/>
      <c r="G27" s="299"/>
      <c r="H27" s="299"/>
      <c r="I27" s="299"/>
      <c r="J27" s="299"/>
      <c r="K27" s="299"/>
      <c r="L27" s="299"/>
    </row>
    <row r="28" spans="1:15" ht="9.75" customHeight="1" x14ac:dyDescent="0.2">
      <c r="A28" s="141"/>
      <c r="B28" s="215"/>
      <c r="C28" s="215"/>
      <c r="D28" s="215"/>
      <c r="E28" s="215"/>
      <c r="F28" s="215"/>
      <c r="G28" s="215"/>
      <c r="H28" s="215"/>
      <c r="I28" s="215"/>
      <c r="J28" s="215"/>
      <c r="K28" s="24"/>
      <c r="L28" s="24"/>
    </row>
    <row r="29" spans="1:15" ht="18.75" customHeight="1" x14ac:dyDescent="0.2">
      <c r="A29" s="119"/>
      <c r="B29" s="145"/>
      <c r="C29" s="145"/>
      <c r="D29" s="145"/>
      <c r="E29" s="145"/>
      <c r="F29" s="145"/>
      <c r="G29" s="145"/>
      <c r="H29" s="21"/>
      <c r="I29" s="21"/>
      <c r="J29" s="21"/>
      <c r="K29" s="24"/>
      <c r="L29" s="176" t="s">
        <v>200</v>
      </c>
    </row>
    <row r="30" spans="1:15" ht="19.5" customHeight="1" x14ac:dyDescent="0.2">
      <c r="A30" s="119"/>
      <c r="B30" s="21"/>
      <c r="C30" s="18" t="s">
        <v>25</v>
      </c>
      <c r="D30" s="21"/>
      <c r="E30" s="18">
        <v>1388</v>
      </c>
      <c r="F30" s="18">
        <v>1388</v>
      </c>
      <c r="G30" s="43"/>
      <c r="H30" s="18" t="s">
        <v>198</v>
      </c>
      <c r="I30" s="21"/>
      <c r="J30" s="18" t="s">
        <v>199</v>
      </c>
      <c r="K30" s="24"/>
      <c r="L30" s="213">
        <v>1388</v>
      </c>
    </row>
    <row r="31" spans="1:15" ht="18.75" customHeight="1" x14ac:dyDescent="0.2">
      <c r="A31" s="119"/>
      <c r="B31" s="21"/>
      <c r="C31" s="21"/>
      <c r="D31" s="21"/>
      <c r="E31" s="21" t="s">
        <v>132</v>
      </c>
      <c r="F31" s="21" t="s">
        <v>120</v>
      </c>
      <c r="G31" s="43"/>
      <c r="H31" s="21" t="s">
        <v>132</v>
      </c>
      <c r="I31" s="21"/>
      <c r="J31" s="21" t="s">
        <v>132</v>
      </c>
      <c r="K31" s="24"/>
      <c r="L31" s="216" t="s">
        <v>132</v>
      </c>
    </row>
    <row r="32" spans="1:15" ht="18" customHeight="1" x14ac:dyDescent="0.2">
      <c r="A32" s="141"/>
      <c r="B32" s="23" t="s">
        <v>322</v>
      </c>
      <c r="C32" s="21">
        <v>14</v>
      </c>
      <c r="D32" s="23"/>
      <c r="E32" s="45">
        <v>300</v>
      </c>
      <c r="F32" s="45"/>
      <c r="G32" s="45"/>
      <c r="H32" s="183">
        <v>0</v>
      </c>
      <c r="I32" s="183"/>
      <c r="J32" s="45">
        <v>524</v>
      </c>
      <c r="K32" s="24"/>
      <c r="L32" s="45">
        <v>824</v>
      </c>
    </row>
    <row r="33" spans="1:14" ht="18" customHeight="1" x14ac:dyDescent="0.2">
      <c r="A33" s="141"/>
      <c r="B33" s="23" t="s">
        <v>323</v>
      </c>
      <c r="C33" s="216">
        <v>12</v>
      </c>
      <c r="D33" s="23"/>
      <c r="E33" s="45">
        <v>45352</v>
      </c>
      <c r="F33" s="45"/>
      <c r="G33" s="45"/>
      <c r="H33" s="45">
        <v>42</v>
      </c>
      <c r="I33" s="183"/>
      <c r="J33" s="45">
        <v>240</v>
      </c>
      <c r="K33" s="24"/>
      <c r="L33" s="45">
        <v>45550</v>
      </c>
    </row>
    <row r="34" spans="1:14" ht="18" customHeight="1" x14ac:dyDescent="0.2">
      <c r="A34" s="141"/>
      <c r="B34" s="23" t="s">
        <v>354</v>
      </c>
      <c r="C34" s="216">
        <v>19</v>
      </c>
      <c r="D34" s="23"/>
      <c r="E34" s="45">
        <v>41285</v>
      </c>
      <c r="F34" s="45"/>
      <c r="G34" s="45"/>
      <c r="H34" s="45">
        <v>187</v>
      </c>
      <c r="I34" s="183"/>
      <c r="J34" s="183">
        <v>0</v>
      </c>
      <c r="K34" s="24"/>
      <c r="L34" s="45">
        <v>41472</v>
      </c>
    </row>
    <row r="35" spans="1:14" ht="18" customHeight="1" x14ac:dyDescent="0.2">
      <c r="A35" s="141"/>
      <c r="B35" s="23" t="s">
        <v>324</v>
      </c>
      <c r="C35" s="216">
        <v>21</v>
      </c>
      <c r="D35" s="23"/>
      <c r="E35" s="45">
        <v>32</v>
      </c>
      <c r="F35" s="45"/>
      <c r="G35" s="45"/>
      <c r="H35" s="183">
        <v>0</v>
      </c>
      <c r="I35" s="183"/>
      <c r="J35" s="45">
        <v>42</v>
      </c>
      <c r="K35" s="24"/>
      <c r="L35" s="45">
        <v>74</v>
      </c>
    </row>
    <row r="36" spans="1:14" ht="18" customHeight="1" x14ac:dyDescent="0.2">
      <c r="A36" s="141"/>
      <c r="B36" s="23" t="s">
        <v>195</v>
      </c>
      <c r="C36" s="216">
        <v>22</v>
      </c>
      <c r="D36" s="23"/>
      <c r="E36" s="45">
        <v>1864</v>
      </c>
      <c r="F36" s="45"/>
      <c r="G36" s="45"/>
      <c r="H36" s="45">
        <v>10</v>
      </c>
      <c r="I36" s="183"/>
      <c r="J36" s="183">
        <v>0</v>
      </c>
      <c r="K36" s="24"/>
      <c r="L36" s="45">
        <v>1874</v>
      </c>
    </row>
    <row r="37" spans="1:14" ht="18" customHeight="1" x14ac:dyDescent="0.2">
      <c r="A37" s="141"/>
      <c r="B37" s="23" t="s">
        <v>325</v>
      </c>
      <c r="C37" s="216">
        <v>15</v>
      </c>
      <c r="D37" s="23"/>
      <c r="E37" s="45">
        <v>46680</v>
      </c>
      <c r="F37" s="45"/>
      <c r="G37" s="45"/>
      <c r="H37" s="183">
        <v>0</v>
      </c>
      <c r="I37" s="183"/>
      <c r="J37" s="45">
        <v>10</v>
      </c>
      <c r="K37" s="24"/>
      <c r="L37" s="45">
        <v>46690</v>
      </c>
    </row>
    <row r="38" spans="1:14" ht="18" customHeight="1" x14ac:dyDescent="0.2">
      <c r="A38" s="141"/>
      <c r="B38" s="23" t="s">
        <v>332</v>
      </c>
      <c r="C38" s="225">
        <v>8</v>
      </c>
      <c r="D38" s="23"/>
      <c r="E38" s="45">
        <v>5066</v>
      </c>
      <c r="F38" s="45"/>
      <c r="G38" s="45"/>
      <c r="H38" s="183">
        <v>0</v>
      </c>
      <c r="I38" s="183"/>
      <c r="J38" s="45">
        <v>63</v>
      </c>
      <c r="K38" s="24"/>
      <c r="L38" s="45">
        <v>5003</v>
      </c>
    </row>
    <row r="39" spans="1:14" ht="18" customHeight="1" x14ac:dyDescent="0.2">
      <c r="A39" s="141"/>
      <c r="B39" s="23" t="s">
        <v>231</v>
      </c>
      <c r="C39" s="208"/>
      <c r="D39" s="23"/>
      <c r="E39" s="45">
        <v>23322</v>
      </c>
      <c r="F39" s="45"/>
      <c r="G39" s="45"/>
      <c r="H39" s="45">
        <f>524+116</f>
        <v>640</v>
      </c>
      <c r="I39" s="45"/>
      <c r="J39" s="183">
        <v>0</v>
      </c>
      <c r="K39" s="215"/>
      <c r="L39" s="45">
        <v>23962</v>
      </c>
    </row>
    <row r="40" spans="1:14" ht="18" customHeight="1" thickBot="1" x14ac:dyDescent="0.25">
      <c r="A40" s="141"/>
      <c r="B40" s="23"/>
      <c r="C40" s="23"/>
      <c r="D40" s="23"/>
      <c r="E40" s="45"/>
      <c r="F40" s="45"/>
      <c r="G40" s="45"/>
      <c r="H40" s="123">
        <f>SUM(H32:H39)</f>
        <v>879</v>
      </c>
      <c r="I40" s="77"/>
      <c r="J40" s="123">
        <f>SUM(J32:J39)</f>
        <v>879</v>
      </c>
      <c r="K40" s="215"/>
      <c r="L40" s="215"/>
    </row>
    <row r="41" spans="1:14" ht="7.5" customHeight="1" thickTop="1" x14ac:dyDescent="0.2">
      <c r="A41" s="141"/>
      <c r="B41" s="23"/>
      <c r="C41" s="23"/>
      <c r="D41" s="23"/>
      <c r="E41" s="45"/>
      <c r="F41" s="45"/>
      <c r="G41" s="45"/>
      <c r="H41" s="77"/>
      <c r="I41" s="77"/>
      <c r="J41" s="77"/>
      <c r="K41" s="215"/>
      <c r="L41" s="215"/>
    </row>
    <row r="42" spans="1:14" s="21" customFormat="1" ht="24" customHeight="1" x14ac:dyDescent="0.2">
      <c r="A42" s="292">
        <v>22</v>
      </c>
      <c r="B42" s="292"/>
      <c r="C42" s="292"/>
      <c r="D42" s="292"/>
      <c r="E42" s="292"/>
      <c r="F42" s="292"/>
      <c r="G42" s="292"/>
      <c r="H42" s="292"/>
      <c r="I42" s="292"/>
      <c r="J42" s="292"/>
      <c r="K42" s="292"/>
      <c r="L42" s="292"/>
      <c r="M42" s="176"/>
    </row>
    <row r="43" spans="1:14" s="21" customFormat="1" ht="21.75" customHeight="1" x14ac:dyDescent="0.2">
      <c r="A43" s="42"/>
      <c r="B43" s="42"/>
      <c r="C43" s="42"/>
      <c r="D43" s="42"/>
      <c r="E43" s="42"/>
      <c r="F43" s="42"/>
      <c r="G43" s="42"/>
      <c r="H43" s="42"/>
      <c r="I43" s="42"/>
      <c r="J43" s="42"/>
      <c r="L43" s="216"/>
    </row>
    <row r="44" spans="1:14" s="21" customFormat="1" ht="24" customHeight="1" x14ac:dyDescent="0.2">
      <c r="A44" s="218"/>
      <c r="B44" s="218"/>
      <c r="C44" s="218"/>
      <c r="D44" s="218"/>
      <c r="E44" s="218"/>
      <c r="F44" s="218"/>
      <c r="G44" s="218"/>
      <c r="H44" s="218"/>
      <c r="I44" s="218"/>
      <c r="J44" s="218"/>
      <c r="L44" s="216"/>
    </row>
    <row r="45" spans="1:14" ht="21" customHeight="1" x14ac:dyDescent="0.55000000000000004">
      <c r="A45" s="141"/>
      <c r="B45" s="23"/>
      <c r="C45" s="23"/>
      <c r="D45" s="23"/>
      <c r="E45" s="45"/>
      <c r="F45" s="45"/>
      <c r="G45" s="45"/>
      <c r="H45" s="24"/>
      <c r="I45" s="24"/>
      <c r="J45" s="24"/>
      <c r="K45" s="45"/>
      <c r="L45" s="102"/>
      <c r="M45" s="115"/>
      <c r="N45" s="97"/>
    </row>
    <row r="46" spans="1:14" ht="21" customHeight="1" x14ac:dyDescent="0.55000000000000004">
      <c r="I46" s="68"/>
      <c r="J46" s="68"/>
      <c r="K46" s="45"/>
      <c r="L46" s="102"/>
      <c r="M46" s="115"/>
    </row>
    <row r="47" spans="1:14" ht="24" customHeight="1" x14ac:dyDescent="0.2">
      <c r="A47" s="24"/>
      <c r="B47" s="23"/>
      <c r="C47" s="23"/>
      <c r="D47" s="23"/>
      <c r="E47" s="21"/>
      <c r="F47" s="21"/>
      <c r="G47" s="21"/>
      <c r="H47" s="23"/>
      <c r="I47" s="24"/>
      <c r="J47" s="24"/>
      <c r="K47" s="77"/>
      <c r="L47" s="24"/>
    </row>
    <row r="48" spans="1:14" ht="24" customHeight="1" x14ac:dyDescent="0.2">
      <c r="A48" s="141"/>
      <c r="B48" s="23"/>
      <c r="C48" s="23"/>
      <c r="D48" s="23"/>
      <c r="E48" s="21"/>
      <c r="F48" s="21"/>
      <c r="G48" s="21"/>
      <c r="H48" s="23"/>
      <c r="I48" s="24"/>
      <c r="J48" s="24"/>
      <c r="K48" s="24"/>
      <c r="L48" s="24"/>
    </row>
    <row r="49" spans="1:12" x14ac:dyDescent="0.2">
      <c r="A49" s="24"/>
      <c r="B49" s="23"/>
      <c r="C49" s="23"/>
      <c r="D49" s="23"/>
      <c r="E49" s="21"/>
      <c r="F49" s="21"/>
      <c r="G49" s="21"/>
      <c r="H49" s="23"/>
      <c r="I49" s="24"/>
      <c r="J49" s="24"/>
      <c r="K49" s="24"/>
      <c r="L49" s="24"/>
    </row>
    <row r="50" spans="1:12" ht="24" customHeight="1" x14ac:dyDescent="0.2">
      <c r="A50" s="24"/>
      <c r="B50" s="23"/>
      <c r="C50" s="23"/>
      <c r="D50" s="23"/>
      <c r="E50" s="143"/>
      <c r="F50" s="143"/>
      <c r="G50" s="143"/>
      <c r="H50" s="23"/>
      <c r="I50" s="24"/>
      <c r="J50" s="24"/>
      <c r="K50" s="218"/>
      <c r="L50" s="218"/>
    </row>
    <row r="51" spans="1:12" ht="24" customHeight="1" x14ac:dyDescent="0.2">
      <c r="A51" s="24"/>
      <c r="B51" s="23"/>
      <c r="C51" s="23"/>
      <c r="D51" s="23"/>
      <c r="E51" s="43"/>
      <c r="F51" s="43"/>
      <c r="G51" s="43"/>
      <c r="H51" s="23"/>
      <c r="I51" s="24"/>
      <c r="J51" s="24"/>
      <c r="K51" s="24"/>
      <c r="L51" s="24"/>
    </row>
    <row r="52" spans="1:12" ht="24" customHeight="1" x14ac:dyDescent="0.2">
      <c r="A52" s="24"/>
      <c r="B52" s="24"/>
      <c r="C52" s="24"/>
      <c r="D52" s="24"/>
      <c r="E52" s="24"/>
      <c r="F52" s="24"/>
      <c r="G52" s="24"/>
      <c r="H52" s="24"/>
      <c r="I52" s="24"/>
      <c r="J52" s="24"/>
      <c r="K52" s="24"/>
      <c r="L52" s="24"/>
    </row>
    <row r="53" spans="1:12" ht="24" customHeight="1" x14ac:dyDescent="0.2">
      <c r="A53" s="24"/>
      <c r="B53" s="24"/>
      <c r="C53" s="24"/>
      <c r="D53" s="24"/>
      <c r="E53" s="24"/>
      <c r="F53" s="24"/>
      <c r="G53" s="24"/>
      <c r="H53" s="24"/>
      <c r="I53" s="24"/>
      <c r="J53" s="24"/>
      <c r="K53" s="24"/>
      <c r="L53" s="24"/>
    </row>
    <row r="54" spans="1:12" ht="24" customHeight="1" x14ac:dyDescent="0.2">
      <c r="A54" s="24"/>
      <c r="B54" s="24"/>
      <c r="C54" s="24"/>
      <c r="D54" s="24"/>
      <c r="E54" s="24"/>
      <c r="F54" s="24"/>
      <c r="G54" s="24"/>
      <c r="H54" s="24"/>
      <c r="I54" s="24"/>
      <c r="J54" s="24"/>
      <c r="K54" s="24"/>
      <c r="L54" s="24"/>
    </row>
    <row r="55" spans="1:12" ht="24" customHeight="1" x14ac:dyDescent="0.2">
      <c r="A55" s="24"/>
      <c r="B55" s="24"/>
      <c r="C55" s="24"/>
      <c r="D55" s="24"/>
      <c r="E55" s="24"/>
      <c r="F55" s="24"/>
      <c r="G55" s="24"/>
      <c r="H55" s="24"/>
      <c r="I55" s="24"/>
      <c r="J55" s="24"/>
      <c r="K55" s="24"/>
      <c r="L55" s="24"/>
    </row>
    <row r="56" spans="1:12" ht="24" customHeight="1" x14ac:dyDescent="0.2">
      <c r="A56" s="24"/>
      <c r="B56" s="24"/>
      <c r="C56" s="24"/>
      <c r="D56" s="24"/>
      <c r="E56" s="24"/>
      <c r="F56" s="24"/>
      <c r="G56" s="24"/>
      <c r="H56" s="24"/>
      <c r="I56" s="24"/>
      <c r="J56" s="24"/>
      <c r="K56" s="24"/>
      <c r="L56" s="24"/>
    </row>
    <row r="57" spans="1:12" ht="24" customHeight="1" x14ac:dyDescent="0.2">
      <c r="A57" s="24"/>
      <c r="B57" s="24"/>
      <c r="C57" s="24"/>
      <c r="D57" s="24"/>
      <c r="E57" s="24"/>
      <c r="F57" s="24"/>
      <c r="G57" s="24"/>
      <c r="H57" s="24"/>
      <c r="I57" s="24"/>
      <c r="J57" s="24"/>
      <c r="K57" s="24"/>
      <c r="L57" s="24"/>
    </row>
    <row r="58" spans="1:12" ht="24" customHeight="1" x14ac:dyDescent="0.2">
      <c r="B58" s="24"/>
      <c r="C58" s="24"/>
      <c r="D58" s="24"/>
      <c r="E58" s="24"/>
      <c r="F58" s="24"/>
      <c r="G58" s="24"/>
      <c r="H58" s="24"/>
      <c r="K58" s="24"/>
      <c r="L58" s="24"/>
    </row>
    <row r="59" spans="1:12" ht="24" customHeight="1" x14ac:dyDescent="0.2">
      <c r="B59" s="24"/>
      <c r="C59" s="24"/>
      <c r="D59" s="24"/>
      <c r="E59" s="24"/>
      <c r="F59" s="24"/>
      <c r="G59" s="24"/>
      <c r="H59" s="24"/>
      <c r="K59" s="24"/>
      <c r="L59" s="24"/>
    </row>
    <row r="60" spans="1:12" ht="24" customHeight="1" x14ac:dyDescent="0.2">
      <c r="B60" s="24"/>
      <c r="C60" s="24"/>
      <c r="D60" s="24"/>
      <c r="E60" s="24"/>
      <c r="F60" s="24"/>
      <c r="G60" s="24"/>
      <c r="H60" s="24"/>
      <c r="K60" s="24"/>
      <c r="L60" s="24"/>
    </row>
    <row r="61" spans="1:12" ht="24" customHeight="1" x14ac:dyDescent="0.2">
      <c r="B61" s="24"/>
      <c r="C61" s="24"/>
      <c r="D61" s="24"/>
      <c r="E61" s="24"/>
      <c r="F61" s="24"/>
      <c r="G61" s="24"/>
      <c r="H61" s="24"/>
      <c r="K61" s="24"/>
      <c r="L61" s="24"/>
    </row>
    <row r="62" spans="1:12" ht="24" customHeight="1" x14ac:dyDescent="0.2">
      <c r="B62" s="24"/>
      <c r="C62" s="24"/>
      <c r="D62" s="24"/>
      <c r="E62" s="24"/>
      <c r="F62" s="24"/>
      <c r="G62" s="24"/>
      <c r="H62" s="24"/>
      <c r="K62" s="24"/>
      <c r="L62" s="24"/>
    </row>
    <row r="63" spans="1:12" ht="24" customHeight="1" x14ac:dyDescent="0.2">
      <c r="B63" s="24"/>
      <c r="C63" s="24"/>
      <c r="D63" s="24"/>
      <c r="E63" s="24"/>
      <c r="F63" s="24"/>
      <c r="G63" s="24"/>
      <c r="H63" s="24"/>
      <c r="K63" s="24"/>
      <c r="L63" s="24"/>
    </row>
    <row r="64" spans="1:12"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sheetData>
  <customSheetViews>
    <customSheetView guid="{77FE9A31-615C-11D9-8076-000F3DEC765A}" showRuler="0">
      <selection activeCell="B10" sqref="B10"/>
      <pageMargins left="0" right="0.55118110236220474" top="0" bottom="0" header="0.51181102362204722" footer="0.51181102362204722"/>
      <pageSetup paperSize="9" orientation="portrait" r:id="rId1"/>
      <headerFooter alignWithMargins="0">
        <oddFooter>&amp;Cصفحه(44)</oddFooter>
      </headerFooter>
    </customSheetView>
    <customSheetView guid="{8BABEDE0-61D1-11D9-A0C2-0080AD86BB50}" showRuler="0">
      <selection activeCell="B10" sqref="B10"/>
      <pageMargins left="0" right="0.55118110236220474" top="0" bottom="0" header="0.51181102362204722" footer="0.51181102362204722"/>
      <pageSetup paperSize="9" orientation="portrait" r:id="rId2"/>
      <headerFooter alignWithMargins="0">
        <oddFooter>&amp;Cصفحه(44)</oddFooter>
      </headerFooter>
    </customSheetView>
  </customSheetViews>
  <mergeCells count="2">
    <mergeCell ref="A42:L42"/>
    <mergeCell ref="B26:L27"/>
  </mergeCells>
  <phoneticPr fontId="0" type="noConversion"/>
  <printOptions horizontalCentered="1"/>
  <pageMargins left="0.59055118110236227" right="0.59055118110236227" top="1.2204724409448819" bottom="0.19685039370078741" header="0.27559055118110237" footer="0.23622047244094491"/>
  <pageSetup paperSize="9" fitToHeight="2"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rightToLeft="1" zoomScaleSheetLayoutView="85" workbookViewId="0">
      <selection activeCell="E4" sqref="E4"/>
    </sheetView>
  </sheetViews>
  <sheetFormatPr defaultRowHeight="22.5" x14ac:dyDescent="0.45"/>
  <cols>
    <col min="1" max="1" width="22.5703125" style="101" customWidth="1"/>
    <col min="2" max="2" width="0.85546875" style="101" customWidth="1"/>
    <col min="3" max="3" width="7.42578125" style="101" bestFit="1" customWidth="1"/>
    <col min="4" max="4" width="0.85546875" style="101" customWidth="1"/>
    <col min="5" max="5" width="15.140625" style="101" bestFit="1" customWidth="1"/>
    <col min="6" max="6" width="16.7109375" style="101" hidden="1" customWidth="1"/>
    <col min="7" max="7" width="0.85546875" style="101" customWidth="1"/>
    <col min="8" max="8" width="15.140625" style="101" customWidth="1"/>
    <col min="9" max="9" width="17.140625" style="101" hidden="1" customWidth="1"/>
    <col min="10" max="10" width="0.85546875" style="101" customWidth="1"/>
    <col min="11" max="11" width="3.42578125" style="101" customWidth="1"/>
    <col min="12" max="12" width="29.5703125" style="101" customWidth="1"/>
    <col min="13" max="13" width="0.7109375" style="101" customWidth="1"/>
    <col min="14" max="14" width="7.5703125" style="101" bestFit="1" customWidth="1"/>
    <col min="15" max="15" width="0.7109375" style="101" customWidth="1"/>
    <col min="16" max="16" width="15.140625" style="101" bestFit="1" customWidth="1"/>
    <col min="17" max="17" width="16.7109375" style="101" hidden="1" customWidth="1"/>
    <col min="18" max="18" width="0.7109375" style="101" customWidth="1"/>
    <col min="19" max="19" width="15.140625" style="101" bestFit="1" customWidth="1"/>
    <col min="20" max="20" width="16.7109375" style="101" hidden="1" customWidth="1"/>
    <col min="21" max="21" width="10.140625" style="101" bestFit="1" customWidth="1"/>
    <col min="22" max="22" width="9.140625" style="105"/>
    <col min="23" max="23" width="15.42578125" style="101" bestFit="1" customWidth="1"/>
    <col min="24" max="24" width="9.140625" style="101"/>
    <col min="25" max="25" width="17" style="101" bestFit="1" customWidth="1"/>
    <col min="26" max="16384" width="9.140625" style="101"/>
  </cols>
  <sheetData>
    <row r="1" spans="1:23" x14ac:dyDescent="0.45">
      <c r="S1" s="100" t="s">
        <v>200</v>
      </c>
    </row>
    <row r="2" spans="1:23" s="95" customFormat="1" ht="21" customHeight="1" x14ac:dyDescent="0.55000000000000004">
      <c r="A2" s="89" t="s">
        <v>70</v>
      </c>
      <c r="B2" s="90"/>
      <c r="C2" s="91" t="s">
        <v>67</v>
      </c>
      <c r="D2" s="90"/>
      <c r="E2" s="92" t="s">
        <v>382</v>
      </c>
      <c r="F2" s="92" t="s">
        <v>382</v>
      </c>
      <c r="G2" s="90"/>
      <c r="H2" s="92" t="s">
        <v>107</v>
      </c>
      <c r="I2" s="92" t="s">
        <v>107</v>
      </c>
      <c r="J2" s="90"/>
      <c r="K2" s="90"/>
      <c r="L2" s="93" t="s">
        <v>203</v>
      </c>
      <c r="M2" s="90"/>
      <c r="N2" s="91" t="s">
        <v>67</v>
      </c>
      <c r="O2" s="94"/>
      <c r="P2" s="92" t="s">
        <v>382</v>
      </c>
      <c r="Q2" s="92" t="s">
        <v>382</v>
      </c>
      <c r="R2" s="90"/>
      <c r="S2" s="92" t="s">
        <v>107</v>
      </c>
      <c r="T2" s="92" t="s">
        <v>107</v>
      </c>
      <c r="V2" s="105"/>
    </row>
    <row r="3" spans="1:23" ht="21" customHeight="1" x14ac:dyDescent="0.55000000000000004">
      <c r="A3" s="96" t="s">
        <v>66</v>
      </c>
      <c r="B3" s="97"/>
      <c r="C3" s="98"/>
      <c r="D3" s="97"/>
      <c r="E3" s="99" t="s">
        <v>133</v>
      </c>
      <c r="F3" s="99" t="s">
        <v>53</v>
      </c>
      <c r="G3" s="97"/>
      <c r="H3" s="99" t="s">
        <v>133</v>
      </c>
      <c r="I3" s="99" t="s">
        <v>53</v>
      </c>
      <c r="J3" s="98"/>
      <c r="K3" s="98"/>
      <c r="L3" s="96" t="s">
        <v>39</v>
      </c>
      <c r="M3" s="100"/>
      <c r="N3" s="100"/>
      <c r="O3" s="97"/>
      <c r="P3" s="99" t="s">
        <v>133</v>
      </c>
      <c r="Q3" s="99" t="s">
        <v>53</v>
      </c>
      <c r="R3" s="97"/>
      <c r="S3" s="99" t="s">
        <v>133</v>
      </c>
      <c r="T3" s="99" t="s">
        <v>53</v>
      </c>
    </row>
    <row r="4" spans="1:23" ht="21" customHeight="1" x14ac:dyDescent="0.55000000000000004">
      <c r="A4" s="102" t="s">
        <v>65</v>
      </c>
      <c r="B4" s="97"/>
      <c r="C4" s="100">
        <v>4</v>
      </c>
      <c r="D4" s="97"/>
      <c r="E4" s="102">
        <f>'4-5-6'!F7</f>
        <v>630</v>
      </c>
      <c r="F4" s="102">
        <f>'4-5-6'!G7</f>
        <v>0</v>
      </c>
      <c r="G4" s="102"/>
      <c r="H4" s="102">
        <f>'4-5-6'!I7</f>
        <v>242</v>
      </c>
      <c r="I4" s="102">
        <f>'4-5-6'!J7</f>
        <v>679884012</v>
      </c>
      <c r="J4" s="98"/>
      <c r="K4" s="98"/>
      <c r="L4" s="102" t="s">
        <v>287</v>
      </c>
      <c r="M4" s="100"/>
      <c r="N4" s="100">
        <v>11</v>
      </c>
      <c r="O4" s="97"/>
      <c r="P4" s="106">
        <f>'10-11-12-13'!H18</f>
        <v>22378</v>
      </c>
      <c r="Q4" s="107"/>
      <c r="R4" s="97"/>
      <c r="S4" s="106">
        <f>'10-11-12-13'!K18</f>
        <v>18592</v>
      </c>
      <c r="T4" s="103" t="e">
        <f>'10-11-12-13'!#REF!</f>
        <v>#REF!</v>
      </c>
    </row>
    <row r="5" spans="1:23" ht="21" customHeight="1" x14ac:dyDescent="0.55000000000000004">
      <c r="A5" s="182" t="s">
        <v>214</v>
      </c>
      <c r="B5" s="104"/>
      <c r="C5" s="100">
        <v>5</v>
      </c>
      <c r="D5" s="104"/>
      <c r="E5" s="103">
        <f>'4-5-6'!F74</f>
        <v>42583</v>
      </c>
      <c r="F5" s="103">
        <f>'4-5-6'!G74</f>
        <v>0</v>
      </c>
      <c r="G5" s="103"/>
      <c r="H5" s="103">
        <f>'4-5-6'!I74</f>
        <v>25898</v>
      </c>
      <c r="I5" s="103">
        <f>'4-5-6'!J74</f>
        <v>47214550</v>
      </c>
      <c r="J5" s="100"/>
      <c r="K5" s="104"/>
      <c r="L5" s="102" t="s">
        <v>76</v>
      </c>
      <c r="M5" s="104"/>
      <c r="N5" s="100">
        <v>12</v>
      </c>
      <c r="O5" s="104"/>
      <c r="P5" s="103">
        <f>'10-11-12-13'!H44</f>
        <v>66991</v>
      </c>
      <c r="Q5" s="103" t="e">
        <f>'10-11-12-13'!#REF!</f>
        <v>#REF!</v>
      </c>
      <c r="R5" s="103"/>
      <c r="S5" s="103">
        <f>'10-11-12-13'!K44</f>
        <v>45550</v>
      </c>
      <c r="T5" s="103" t="e">
        <f>'14'!#REF!</f>
        <v>#REF!</v>
      </c>
      <c r="W5" s="105"/>
    </row>
    <row r="6" spans="1:23" ht="21" customHeight="1" x14ac:dyDescent="0.55000000000000004">
      <c r="A6" s="102" t="s">
        <v>280</v>
      </c>
      <c r="B6" s="104"/>
      <c r="C6" s="100">
        <v>6</v>
      </c>
      <c r="D6" s="104"/>
      <c r="E6" s="103">
        <f>'4-5-6'!F111</f>
        <v>2112</v>
      </c>
      <c r="F6" s="103">
        <f>'4-5-6'!G111</f>
        <v>0</v>
      </c>
      <c r="G6" s="103"/>
      <c r="H6" s="103">
        <f>'4-5-6'!I111</f>
        <v>848</v>
      </c>
      <c r="I6" s="103">
        <f>'4-5-6'!J111</f>
        <v>104122595</v>
      </c>
      <c r="J6" s="100"/>
      <c r="K6" s="100"/>
      <c r="L6" s="102" t="s">
        <v>306</v>
      </c>
      <c r="M6" s="104"/>
      <c r="N6" s="100">
        <v>13</v>
      </c>
      <c r="O6" s="104"/>
      <c r="P6" s="103">
        <f>'10-11-12-13'!H65</f>
        <v>783</v>
      </c>
      <c r="Q6" s="103"/>
      <c r="R6" s="103"/>
      <c r="S6" s="103">
        <f>'10-11-12-13'!K65</f>
        <v>150</v>
      </c>
      <c r="T6" s="106">
        <f>'15'!K14</f>
        <v>815013699</v>
      </c>
      <c r="W6" s="105"/>
    </row>
    <row r="7" spans="1:23" ht="21" customHeight="1" x14ac:dyDescent="0.55000000000000004">
      <c r="A7" s="102" t="s">
        <v>93</v>
      </c>
      <c r="B7" s="104"/>
      <c r="C7" s="100">
        <v>7</v>
      </c>
      <c r="D7" s="104"/>
      <c r="E7" s="103">
        <f>'7-8'!F7</f>
        <v>41233</v>
      </c>
      <c r="F7" s="103">
        <f>'7-8'!G7</f>
        <v>0</v>
      </c>
      <c r="G7" s="103"/>
      <c r="H7" s="103">
        <f>'7-8'!I7</f>
        <v>26075</v>
      </c>
      <c r="I7" s="103">
        <f>'7-8'!J7</f>
        <v>9455663000</v>
      </c>
      <c r="J7" s="100"/>
      <c r="K7" s="100"/>
      <c r="L7" s="102" t="s">
        <v>68</v>
      </c>
      <c r="M7" s="104"/>
      <c r="N7" s="100">
        <v>14</v>
      </c>
      <c r="O7" s="104"/>
      <c r="P7" s="220">
        <f>'14'!P13</f>
        <v>0</v>
      </c>
      <c r="Q7" s="105" t="e">
        <f>'14'!#REF!</f>
        <v>#REF!</v>
      </c>
      <c r="R7" s="103"/>
      <c r="S7" s="103">
        <f>'14'!S13</f>
        <v>824</v>
      </c>
      <c r="T7" s="106"/>
      <c r="W7" s="105"/>
    </row>
    <row r="8" spans="1:23" ht="21" customHeight="1" x14ac:dyDescent="0.55000000000000004">
      <c r="A8" s="102" t="s">
        <v>240</v>
      </c>
      <c r="B8" s="104"/>
      <c r="C8" s="100">
        <v>8</v>
      </c>
      <c r="D8" s="104"/>
      <c r="E8" s="103">
        <f>'7-8'!F28</f>
        <v>6450</v>
      </c>
      <c r="F8" s="103">
        <f>'7-8'!G26</f>
        <v>0</v>
      </c>
      <c r="G8" s="103"/>
      <c r="H8" s="103">
        <f>'7-8'!I28</f>
        <v>5003</v>
      </c>
      <c r="I8" s="103">
        <f>'7-8'!J26</f>
        <v>187083875</v>
      </c>
      <c r="J8" s="107"/>
      <c r="K8" s="100"/>
      <c r="L8" s="102" t="s">
        <v>77</v>
      </c>
      <c r="M8" s="104"/>
      <c r="N8" s="100">
        <v>15</v>
      </c>
      <c r="O8" s="104"/>
      <c r="P8" s="106">
        <f>'15'!G14</f>
        <v>51236</v>
      </c>
      <c r="Q8" s="106">
        <f>'15'!H14</f>
        <v>0</v>
      </c>
      <c r="R8" s="103"/>
      <c r="S8" s="106">
        <f>'15'!J14</f>
        <v>42121</v>
      </c>
      <c r="W8" s="105"/>
    </row>
    <row r="9" spans="1:23" ht="21" customHeight="1" x14ac:dyDescent="0.55000000000000004">
      <c r="A9" s="102" t="s">
        <v>40</v>
      </c>
      <c r="B9" s="104"/>
      <c r="C9" s="100"/>
      <c r="D9" s="104"/>
      <c r="E9" s="108">
        <f>SUM(E4:E8)</f>
        <v>93008</v>
      </c>
      <c r="F9" s="108">
        <f>SUM(F4:F8)</f>
        <v>0</v>
      </c>
      <c r="G9" s="103"/>
      <c r="H9" s="108">
        <f>SUM(H4:H8)</f>
        <v>58066</v>
      </c>
      <c r="I9" s="106"/>
      <c r="J9" s="107"/>
      <c r="K9" s="100"/>
      <c r="L9" s="102" t="s">
        <v>94</v>
      </c>
      <c r="M9" s="104"/>
      <c r="N9" s="104"/>
      <c r="O9" s="104"/>
      <c r="P9" s="108">
        <f>SUM(P4:P8)</f>
        <v>141388</v>
      </c>
      <c r="Q9" s="108" t="e">
        <f>SUM(Q5:Q8)</f>
        <v>#REF!</v>
      </c>
      <c r="R9" s="103"/>
      <c r="S9" s="108">
        <f>SUM(S4:S8)</f>
        <v>107237</v>
      </c>
      <c r="T9" s="106"/>
    </row>
    <row r="10" spans="1:23" ht="21" customHeight="1" x14ac:dyDescent="0.55000000000000004">
      <c r="A10" s="96" t="s">
        <v>72</v>
      </c>
      <c r="B10" s="104"/>
      <c r="C10" s="100"/>
      <c r="D10" s="104"/>
      <c r="E10" s="106"/>
      <c r="F10" s="106"/>
      <c r="G10" s="103"/>
      <c r="H10" s="106"/>
      <c r="I10" s="106"/>
      <c r="J10" s="107"/>
      <c r="K10" s="109"/>
      <c r="L10" s="96" t="s">
        <v>217</v>
      </c>
      <c r="M10" s="104"/>
      <c r="N10" s="104"/>
      <c r="O10" s="104"/>
      <c r="P10" s="106"/>
      <c r="Q10" s="106"/>
      <c r="R10" s="106"/>
      <c r="S10" s="106"/>
      <c r="T10" s="106">
        <v>322396345</v>
      </c>
    </row>
    <row r="11" spans="1:23" ht="21" customHeight="1" x14ac:dyDescent="0.55000000000000004">
      <c r="A11" s="102" t="s">
        <v>74</v>
      </c>
      <c r="B11" s="104"/>
      <c r="C11" s="100">
        <v>9</v>
      </c>
      <c r="D11" s="104"/>
      <c r="E11" s="106">
        <f>'9'!AF14</f>
        <v>33699</v>
      </c>
      <c r="F11" s="106" t="e">
        <f>'9'!AG14</f>
        <v>#REF!</v>
      </c>
      <c r="G11" s="103"/>
      <c r="H11" s="106">
        <f>'9'!AI14</f>
        <v>37440</v>
      </c>
      <c r="I11" s="106">
        <f>'9'!AJ14</f>
        <v>0</v>
      </c>
      <c r="J11" s="107"/>
      <c r="K11" s="104"/>
      <c r="L11" s="102" t="s">
        <v>247</v>
      </c>
      <c r="M11" s="104"/>
      <c r="N11" s="100">
        <v>15</v>
      </c>
      <c r="O11" s="104"/>
      <c r="P11" s="103">
        <f>-'15'!G13</f>
        <v>373</v>
      </c>
      <c r="Q11" s="189"/>
      <c r="R11" s="103"/>
      <c r="S11" s="103">
        <f>-'15'!J13</f>
        <v>4569</v>
      </c>
      <c r="T11" s="106"/>
    </row>
    <row r="12" spans="1:23" ht="21" customHeight="1" x14ac:dyDescent="0.55000000000000004">
      <c r="A12" s="102" t="s">
        <v>75</v>
      </c>
      <c r="B12" s="104"/>
      <c r="C12" s="100">
        <v>10</v>
      </c>
      <c r="D12" s="104"/>
      <c r="E12" s="106">
        <f>'10-11-12-13'!H8</f>
        <v>467</v>
      </c>
      <c r="F12" s="106" t="e">
        <f>'10-11-12-13'!#REF!</f>
        <v>#REF!</v>
      </c>
      <c r="G12" s="103"/>
      <c r="H12" s="106">
        <f>'10-11-12-13'!K8</f>
        <v>302</v>
      </c>
      <c r="I12" s="106" t="e">
        <f>'10-11-12-13'!#REF!</f>
        <v>#REF!</v>
      </c>
      <c r="J12" s="107"/>
      <c r="K12" s="104"/>
      <c r="L12" s="102" t="s">
        <v>212</v>
      </c>
      <c r="N12" s="100">
        <v>16</v>
      </c>
      <c r="P12" s="103">
        <f>'16-17'!E8</f>
        <v>3607</v>
      </c>
      <c r="S12" s="103">
        <f>'16-17'!G8</f>
        <v>2964</v>
      </c>
      <c r="T12" s="103">
        <v>90000000</v>
      </c>
    </row>
    <row r="13" spans="1:23" ht="21" customHeight="1" x14ac:dyDescent="0.55000000000000004">
      <c r="A13" s="102"/>
      <c r="B13" s="104"/>
      <c r="C13" s="100"/>
      <c r="D13" s="104"/>
      <c r="E13" s="106"/>
      <c r="F13" s="106"/>
      <c r="G13" s="103"/>
      <c r="H13" s="204"/>
      <c r="I13" s="108" t="e">
        <f>SUM(I11:I12)</f>
        <v>#REF!</v>
      </c>
      <c r="J13" s="107"/>
      <c r="K13" s="104"/>
      <c r="L13" s="102" t="s">
        <v>258</v>
      </c>
      <c r="M13" s="104"/>
      <c r="N13" s="104"/>
      <c r="O13" s="104"/>
      <c r="P13" s="108">
        <f>SUM(P11:P12)</f>
        <v>3980</v>
      </c>
      <c r="Q13" s="189"/>
      <c r="R13" s="103"/>
      <c r="S13" s="108">
        <f>SUM(S11:S12)</f>
        <v>7533</v>
      </c>
      <c r="T13" s="108">
        <f>SUM(T12:T12)</f>
        <v>90000000</v>
      </c>
    </row>
    <row r="14" spans="1:23" ht="21" customHeight="1" thickBot="1" x14ac:dyDescent="0.6">
      <c r="A14" s="102" t="s">
        <v>73</v>
      </c>
      <c r="B14" s="97"/>
      <c r="C14" s="97"/>
      <c r="D14" s="97"/>
      <c r="E14" s="108">
        <f>SUM(E11:E12)</f>
        <v>34166</v>
      </c>
      <c r="F14" s="108" t="e">
        <f>SUM(F11:F12)</f>
        <v>#REF!</v>
      </c>
      <c r="G14" s="102"/>
      <c r="H14" s="108">
        <f>SUM(H11:H12)</f>
        <v>37742</v>
      </c>
      <c r="I14" s="114" t="e">
        <f>#REF!+I13</f>
        <v>#REF!</v>
      </c>
      <c r="J14" s="107"/>
      <c r="K14" s="104"/>
      <c r="L14" s="102" t="s">
        <v>226</v>
      </c>
      <c r="M14" s="104"/>
      <c r="N14" s="104"/>
      <c r="O14" s="104"/>
      <c r="P14" s="108">
        <f>P9+P13</f>
        <v>145368</v>
      </c>
      <c r="Q14" s="189"/>
      <c r="R14" s="103"/>
      <c r="S14" s="108">
        <f>S9+S13</f>
        <v>114770</v>
      </c>
      <c r="T14" s="155" t="e">
        <f>#REF!+T10+T13</f>
        <v>#REF!</v>
      </c>
    </row>
    <row r="15" spans="1:23" ht="21" customHeight="1" thickTop="1" thickBot="1" x14ac:dyDescent="0.6">
      <c r="A15" s="102"/>
      <c r="B15" s="97"/>
      <c r="C15" s="97"/>
      <c r="D15" s="97"/>
      <c r="E15" s="194"/>
      <c r="F15" s="114"/>
      <c r="G15" s="102"/>
      <c r="H15" s="194"/>
      <c r="I15" s="98" t="s">
        <v>108</v>
      </c>
      <c r="J15" s="97"/>
      <c r="K15" s="104"/>
      <c r="L15" s="96" t="s">
        <v>95</v>
      </c>
      <c r="M15" s="104"/>
      <c r="N15" s="111"/>
      <c r="O15" s="104"/>
      <c r="P15" s="106"/>
      <c r="Q15" s="106"/>
      <c r="R15" s="106"/>
      <c r="S15" s="106"/>
      <c r="T15" s="106"/>
    </row>
    <row r="16" spans="1:23" ht="21" customHeight="1" thickTop="1" x14ac:dyDescent="0.55000000000000004">
      <c r="A16" s="102"/>
      <c r="B16" s="97"/>
      <c r="C16" s="97"/>
      <c r="D16" s="97"/>
      <c r="E16" s="106"/>
      <c r="F16" s="106"/>
      <c r="G16" s="102"/>
      <c r="H16" s="106"/>
      <c r="I16" s="117"/>
      <c r="J16" s="97"/>
      <c r="K16" s="104"/>
      <c r="L16" s="170" t="s">
        <v>313</v>
      </c>
      <c r="M16" s="104"/>
      <c r="N16" s="100">
        <v>17</v>
      </c>
      <c r="O16" s="104"/>
      <c r="P16" s="103">
        <v>5000</v>
      </c>
      <c r="Q16" s="103"/>
      <c r="R16" s="103"/>
      <c r="S16" s="103">
        <v>5000</v>
      </c>
      <c r="T16" s="106"/>
    </row>
    <row r="17" spans="1:20" ht="21" customHeight="1" x14ac:dyDescent="0.55000000000000004">
      <c r="A17" s="102"/>
      <c r="B17" s="97"/>
      <c r="C17" s="97"/>
      <c r="D17" s="97"/>
      <c r="E17" s="106"/>
      <c r="F17" s="106"/>
      <c r="G17" s="102"/>
      <c r="H17" s="106"/>
      <c r="I17" s="117"/>
      <c r="J17" s="97"/>
      <c r="K17" s="104"/>
      <c r="L17" s="102" t="s">
        <v>337</v>
      </c>
      <c r="M17" s="104"/>
      <c r="N17" s="110"/>
      <c r="O17" s="104"/>
      <c r="P17" s="112">
        <f>income!G29</f>
        <v>-23194</v>
      </c>
      <c r="Q17" s="112" t="e">
        <f>income!H29</f>
        <v>#REF!</v>
      </c>
      <c r="R17" s="106"/>
      <c r="S17" s="112">
        <f>income!J29</f>
        <v>-23962</v>
      </c>
      <c r="T17" s="106"/>
    </row>
    <row r="18" spans="1:20" ht="21" customHeight="1" x14ac:dyDescent="0.55000000000000004">
      <c r="A18" s="98"/>
      <c r="B18" s="98"/>
      <c r="C18" s="98"/>
      <c r="D18" s="98"/>
      <c r="E18" s="156"/>
      <c r="F18" s="156"/>
      <c r="G18" s="156"/>
      <c r="H18" s="156"/>
      <c r="I18" s="117"/>
      <c r="J18" s="97"/>
      <c r="K18" s="104"/>
      <c r="L18" s="102" t="s">
        <v>96</v>
      </c>
      <c r="M18" s="97"/>
      <c r="N18" s="113"/>
      <c r="O18" s="97"/>
      <c r="P18" s="108">
        <f>SUM(P16:P17)</f>
        <v>-18194</v>
      </c>
      <c r="Q18" s="108" t="e">
        <f>SUM(Q16:Q17)</f>
        <v>#REF!</v>
      </c>
      <c r="R18" s="102"/>
      <c r="S18" s="108">
        <f>SUM(S16:S17)</f>
        <v>-18962</v>
      </c>
      <c r="T18" s="106"/>
    </row>
    <row r="19" spans="1:20" ht="21" customHeight="1" thickBot="1" x14ac:dyDescent="0.6">
      <c r="A19" s="102" t="s">
        <v>69</v>
      </c>
      <c r="B19" s="97"/>
      <c r="C19" s="97"/>
      <c r="D19" s="97"/>
      <c r="E19" s="155">
        <f>E9+E14</f>
        <v>127174</v>
      </c>
      <c r="F19" s="155" t="e">
        <f>F14+F18</f>
        <v>#REF!</v>
      </c>
      <c r="G19" s="102"/>
      <c r="H19" s="155">
        <f>H9+H14</f>
        <v>95808</v>
      </c>
      <c r="I19" s="97"/>
      <c r="J19" s="97"/>
      <c r="K19" s="97"/>
      <c r="L19" s="102" t="s">
        <v>91</v>
      </c>
      <c r="M19" s="97"/>
      <c r="N19" s="113"/>
      <c r="O19" s="97"/>
      <c r="P19" s="155">
        <f>P14+P18</f>
        <v>127174</v>
      </c>
      <c r="Q19" s="155" t="e">
        <f>Q9+Q11+Q18</f>
        <v>#REF!</v>
      </c>
      <c r="R19" s="102"/>
      <c r="S19" s="155">
        <f>S14+S18</f>
        <v>95808</v>
      </c>
      <c r="T19" s="106"/>
    </row>
    <row r="20" spans="1:20" ht="21" customHeight="1" thickTop="1" x14ac:dyDescent="0.55000000000000004">
      <c r="A20" s="102"/>
      <c r="B20" s="97"/>
      <c r="C20" s="97"/>
      <c r="D20" s="97"/>
      <c r="E20" s="106"/>
      <c r="F20" s="106"/>
      <c r="G20" s="102"/>
      <c r="H20" s="106"/>
      <c r="I20" s="97"/>
      <c r="J20" s="97"/>
      <c r="K20" s="97"/>
      <c r="L20" s="102"/>
      <c r="M20" s="97"/>
      <c r="N20" s="113"/>
      <c r="O20" s="97"/>
      <c r="P20" s="106"/>
      <c r="Q20" s="106"/>
      <c r="R20" s="102"/>
      <c r="S20" s="106"/>
      <c r="T20" s="106"/>
    </row>
    <row r="21" spans="1:20" ht="21" customHeight="1" x14ac:dyDescent="0.55000000000000004">
      <c r="A21" s="171"/>
      <c r="B21" s="171"/>
      <c r="C21" s="171"/>
      <c r="D21" s="171"/>
      <c r="E21" s="171"/>
      <c r="F21" s="171"/>
      <c r="G21" s="171"/>
      <c r="H21" s="171"/>
      <c r="I21" s="172"/>
      <c r="J21" s="172"/>
      <c r="K21" s="172"/>
      <c r="L21" s="102"/>
      <c r="M21" s="97"/>
      <c r="N21" s="113"/>
      <c r="O21" s="97"/>
      <c r="P21" s="106"/>
      <c r="Q21" s="106"/>
      <c r="R21" s="102"/>
      <c r="S21" s="106"/>
      <c r="T21" s="106"/>
    </row>
    <row r="22" spans="1:20" ht="21" customHeight="1" x14ac:dyDescent="0.55000000000000004">
      <c r="A22" s="260"/>
      <c r="B22" s="260"/>
      <c r="C22" s="260"/>
      <c r="D22" s="260"/>
      <c r="E22" s="260"/>
      <c r="F22" s="260"/>
      <c r="G22" s="260"/>
      <c r="H22" s="260"/>
      <c r="I22" s="172"/>
      <c r="J22" s="172"/>
      <c r="K22" s="172"/>
      <c r="L22" s="102"/>
      <c r="M22" s="97"/>
      <c r="N22" s="113"/>
      <c r="O22" s="97"/>
      <c r="P22" s="106"/>
      <c r="Q22" s="106"/>
      <c r="R22" s="102"/>
      <c r="S22" s="106"/>
      <c r="T22" s="106"/>
    </row>
    <row r="23" spans="1:20" ht="21" customHeight="1" x14ac:dyDescent="0.55000000000000004">
      <c r="A23" s="278" t="s">
        <v>218</v>
      </c>
      <c r="B23" s="278"/>
      <c r="C23" s="278"/>
      <c r="D23" s="278"/>
      <c r="E23" s="278"/>
      <c r="F23" s="278"/>
      <c r="G23" s="278"/>
      <c r="H23" s="278"/>
      <c r="I23" s="278"/>
      <c r="J23" s="278"/>
      <c r="K23" s="278"/>
      <c r="L23" s="278"/>
      <c r="M23" s="278"/>
      <c r="N23" s="278"/>
      <c r="O23" s="278"/>
      <c r="P23" s="278"/>
      <c r="Q23" s="278"/>
      <c r="R23" s="278"/>
      <c r="S23" s="278"/>
      <c r="T23" s="106"/>
    </row>
    <row r="24" spans="1:20" ht="21" customHeight="1" x14ac:dyDescent="0.55000000000000004">
      <c r="A24" s="279">
        <v>2</v>
      </c>
      <c r="B24" s="279"/>
      <c r="C24" s="279"/>
      <c r="D24" s="279"/>
      <c r="E24" s="279"/>
      <c r="F24" s="279"/>
      <c r="G24" s="279"/>
      <c r="H24" s="279"/>
      <c r="I24" s="279"/>
      <c r="J24" s="279"/>
      <c r="K24" s="279"/>
      <c r="L24" s="279"/>
      <c r="M24" s="279"/>
      <c r="N24" s="279"/>
      <c r="O24" s="279"/>
      <c r="P24" s="279"/>
      <c r="Q24" s="279"/>
      <c r="R24" s="279"/>
      <c r="S24" s="279"/>
      <c r="T24" s="106"/>
    </row>
    <row r="25" spans="1:20" ht="21" customHeight="1" x14ac:dyDescent="0.55000000000000004">
      <c r="A25" s="97"/>
      <c r="B25" s="97"/>
      <c r="C25" s="97"/>
      <c r="D25" s="97"/>
      <c r="E25" s="97"/>
      <c r="F25" s="97"/>
      <c r="G25" s="97"/>
      <c r="H25" s="97"/>
      <c r="K25" s="97"/>
      <c r="L25" s="97"/>
      <c r="M25" s="97"/>
      <c r="N25" s="97"/>
      <c r="O25" s="97"/>
      <c r="P25" s="97"/>
      <c r="Q25" s="97"/>
      <c r="R25" s="97"/>
      <c r="S25" s="97"/>
      <c r="T25" s="106"/>
    </row>
    <row r="26" spans="1:20" ht="21" customHeight="1" x14ac:dyDescent="0.55000000000000004">
      <c r="A26" s="172"/>
      <c r="B26" s="172"/>
      <c r="C26" s="172"/>
      <c r="D26" s="172"/>
      <c r="E26" s="172"/>
      <c r="F26" s="172"/>
      <c r="G26" s="172"/>
      <c r="H26" s="172"/>
      <c r="J26" s="171"/>
      <c r="K26" s="171"/>
      <c r="L26" s="172"/>
      <c r="M26" s="172"/>
      <c r="N26" s="172"/>
      <c r="O26" s="172"/>
      <c r="P26" s="172"/>
      <c r="Q26" s="172"/>
      <c r="R26" s="172"/>
      <c r="S26" s="172"/>
      <c r="T26" s="106"/>
    </row>
    <row r="27" spans="1:20" x14ac:dyDescent="0.55000000000000004">
      <c r="J27" s="171"/>
      <c r="K27" s="171"/>
      <c r="L27" s="98"/>
      <c r="M27" s="98"/>
      <c r="N27" s="98"/>
      <c r="O27" s="98"/>
      <c r="P27" s="98"/>
      <c r="Q27" s="98"/>
      <c r="R27" s="98"/>
      <c r="S27" s="98"/>
      <c r="T27" s="107"/>
    </row>
    <row r="28" spans="1:20" x14ac:dyDescent="0.55000000000000004">
      <c r="K28" s="97"/>
      <c r="L28" s="171"/>
      <c r="M28" s="171"/>
      <c r="N28" s="171"/>
      <c r="O28" s="171"/>
      <c r="P28" s="171"/>
      <c r="Q28" s="171"/>
      <c r="R28" s="171"/>
      <c r="S28" s="171"/>
      <c r="T28" s="116"/>
    </row>
    <row r="29" spans="1:20" x14ac:dyDescent="0.55000000000000004">
      <c r="K29" s="98"/>
      <c r="L29" s="98"/>
      <c r="M29" s="98"/>
      <c r="N29" s="98"/>
      <c r="O29" s="98"/>
      <c r="P29" s="98"/>
      <c r="Q29" s="98"/>
      <c r="R29" s="98"/>
      <c r="S29" s="98"/>
      <c r="T29" s="98"/>
    </row>
    <row r="30" spans="1:20" x14ac:dyDescent="0.55000000000000004">
      <c r="L30" s="171"/>
      <c r="M30" s="171"/>
      <c r="N30" s="171"/>
      <c r="O30" s="171"/>
      <c r="P30" s="171"/>
      <c r="Q30" s="171"/>
      <c r="R30" s="171"/>
      <c r="S30" s="171"/>
      <c r="T30" s="117"/>
    </row>
    <row r="31" spans="1:20" x14ac:dyDescent="0.55000000000000004">
      <c r="K31" s="98"/>
      <c r="L31" s="171"/>
      <c r="M31" s="171"/>
      <c r="N31" s="171"/>
      <c r="O31" s="171"/>
      <c r="P31" s="171"/>
      <c r="Q31" s="171"/>
      <c r="R31" s="171"/>
      <c r="S31" s="171"/>
      <c r="T31" s="98"/>
    </row>
    <row r="37" spans="17:25" x14ac:dyDescent="0.45">
      <c r="U37" s="164"/>
      <c r="V37" s="165"/>
      <c r="W37" s="117"/>
      <c r="X37" s="117"/>
      <c r="Y37" s="166"/>
    </row>
    <row r="38" spans="17:25" x14ac:dyDescent="0.45">
      <c r="U38" s="164"/>
      <c r="V38" s="165"/>
      <c r="W38" s="117"/>
      <c r="X38" s="117"/>
      <c r="Y38" s="166"/>
    </row>
    <row r="39" spans="17:25" x14ac:dyDescent="0.45">
      <c r="U39" s="164"/>
      <c r="V39" s="165"/>
      <c r="W39" s="117"/>
      <c r="X39" s="117"/>
      <c r="Y39" s="166"/>
    </row>
    <row r="40" spans="17:25" x14ac:dyDescent="0.45">
      <c r="U40" s="164"/>
      <c r="V40" s="165"/>
      <c r="W40" s="117"/>
      <c r="X40" s="117"/>
      <c r="Y40" s="166"/>
    </row>
    <row r="41" spans="17:25" x14ac:dyDescent="0.45">
      <c r="U41" s="164"/>
      <c r="V41" s="165"/>
      <c r="W41" s="117"/>
      <c r="X41" s="117"/>
      <c r="Y41" s="166"/>
    </row>
    <row r="42" spans="17:25" x14ac:dyDescent="0.45">
      <c r="U42" s="164"/>
      <c r="V42" s="165"/>
      <c r="W42" s="117"/>
      <c r="X42" s="117"/>
      <c r="Y42" s="117"/>
    </row>
    <row r="43" spans="17:25" x14ac:dyDescent="0.45">
      <c r="Q43" s="118"/>
      <c r="U43" s="164"/>
      <c r="V43" s="165"/>
      <c r="W43" s="117"/>
      <c r="X43" s="117"/>
      <c r="Y43" s="117"/>
    </row>
    <row r="44" spans="17:25" x14ac:dyDescent="0.45">
      <c r="Q44" s="118"/>
      <c r="U44" s="164"/>
      <c r="V44" s="165"/>
      <c r="W44" s="117"/>
      <c r="X44" s="117"/>
      <c r="Y44" s="117"/>
    </row>
    <row r="45" spans="17:25" x14ac:dyDescent="0.45">
      <c r="Q45" s="118"/>
      <c r="U45" s="167"/>
      <c r="V45" s="165"/>
      <c r="W45" s="166"/>
      <c r="X45" s="166"/>
      <c r="Y45" s="166"/>
    </row>
    <row r="46" spans="17:25" x14ac:dyDescent="0.45">
      <c r="Q46" s="118"/>
      <c r="U46" s="167"/>
      <c r="V46" s="165"/>
      <c r="W46" s="166"/>
      <c r="X46" s="166"/>
      <c r="Y46" s="166"/>
    </row>
    <row r="47" spans="17:25" x14ac:dyDescent="0.45">
      <c r="U47" s="167"/>
      <c r="V47" s="165"/>
      <c r="W47" s="166"/>
      <c r="X47" s="166"/>
      <c r="Y47" s="166"/>
    </row>
    <row r="48" spans="17:25" x14ac:dyDescent="0.45">
      <c r="U48" s="164"/>
      <c r="V48" s="165"/>
      <c r="W48" s="117"/>
      <c r="X48" s="117"/>
      <c r="Y48" s="117"/>
    </row>
    <row r="49" spans="21:25" x14ac:dyDescent="0.45">
      <c r="U49" s="164"/>
      <c r="V49" s="165"/>
      <c r="W49" s="117"/>
      <c r="X49" s="117"/>
      <c r="Y49" s="117"/>
    </row>
    <row r="50" spans="21:25" x14ac:dyDescent="0.45">
      <c r="U50" s="164"/>
      <c r="V50" s="165"/>
      <c r="W50" s="117"/>
      <c r="X50" s="117"/>
      <c r="Y50" s="117"/>
    </row>
    <row r="51" spans="21:25" x14ac:dyDescent="0.45">
      <c r="U51" s="168"/>
      <c r="V51" s="165"/>
      <c r="W51" s="169"/>
      <c r="X51" s="169"/>
      <c r="Y51" s="169"/>
    </row>
    <row r="52" spans="21:25" x14ac:dyDescent="0.45">
      <c r="U52" s="164"/>
      <c r="V52" s="165"/>
      <c r="W52" s="166"/>
      <c r="X52" s="166"/>
      <c r="Y52" s="166"/>
    </row>
    <row r="53" spans="21:25" x14ac:dyDescent="0.45">
      <c r="U53" s="164"/>
      <c r="V53" s="165"/>
      <c r="W53" s="117"/>
      <c r="X53" s="117"/>
      <c r="Y53" s="117"/>
    </row>
    <row r="54" spans="21:25" x14ac:dyDescent="0.45">
      <c r="U54" s="164"/>
      <c r="V54" s="165"/>
      <c r="W54" s="117"/>
      <c r="X54" s="117"/>
      <c r="Y54" s="117"/>
    </row>
    <row r="55" spans="21:25" x14ac:dyDescent="0.45">
      <c r="U55" s="164"/>
      <c r="V55" s="165"/>
      <c r="W55" s="117"/>
      <c r="X55" s="117"/>
      <c r="Y55" s="117"/>
    </row>
    <row r="56" spans="21:25" x14ac:dyDescent="0.45">
      <c r="U56" s="164"/>
      <c r="V56" s="165"/>
      <c r="W56" s="117"/>
      <c r="X56" s="117"/>
      <c r="Y56" s="117"/>
    </row>
    <row r="57" spans="21:25" x14ac:dyDescent="0.45">
      <c r="U57" s="117"/>
      <c r="V57" s="165"/>
      <c r="W57" s="117"/>
      <c r="X57" s="117"/>
      <c r="Y57" s="117"/>
    </row>
    <row r="58" spans="21:25" x14ac:dyDescent="0.45">
      <c r="U58" s="117"/>
      <c r="V58" s="165"/>
      <c r="W58" s="117"/>
      <c r="X58" s="117"/>
      <c r="Y58" s="117"/>
    </row>
    <row r="59" spans="21:25" x14ac:dyDescent="0.45">
      <c r="U59" s="117"/>
      <c r="V59" s="165"/>
      <c r="W59" s="117"/>
      <c r="X59" s="117"/>
      <c r="Y59" s="117"/>
    </row>
    <row r="60" spans="21:25" x14ac:dyDescent="0.45">
      <c r="U60" s="117"/>
      <c r="V60" s="165"/>
      <c r="W60" s="117"/>
      <c r="X60" s="117"/>
      <c r="Y60" s="117"/>
    </row>
    <row r="61" spans="21:25" x14ac:dyDescent="0.45">
      <c r="U61" s="117"/>
      <c r="V61" s="165"/>
      <c r="W61" s="117"/>
      <c r="X61" s="117"/>
      <c r="Y61" s="117"/>
    </row>
    <row r="62" spans="21:25" x14ac:dyDescent="0.45">
      <c r="U62" s="117"/>
      <c r="V62" s="165"/>
      <c r="W62" s="117"/>
      <c r="X62" s="117"/>
      <c r="Y62" s="117"/>
    </row>
    <row r="63" spans="21:25" x14ac:dyDescent="0.45">
      <c r="U63" s="117"/>
      <c r="V63" s="165"/>
      <c r="W63" s="117"/>
      <c r="X63" s="117"/>
      <c r="Y63" s="117"/>
    </row>
    <row r="64" spans="21:25" x14ac:dyDescent="0.45">
      <c r="U64" s="117"/>
      <c r="V64" s="165"/>
      <c r="W64" s="117"/>
      <c r="X64" s="117"/>
      <c r="Y64" s="117"/>
    </row>
    <row r="65" spans="21:25" x14ac:dyDescent="0.45">
      <c r="U65" s="117"/>
      <c r="V65" s="165"/>
      <c r="W65" s="117"/>
      <c r="X65" s="117"/>
      <c r="Y65" s="117"/>
    </row>
    <row r="66" spans="21:25" x14ac:dyDescent="0.45">
      <c r="U66" s="117"/>
      <c r="V66" s="165"/>
      <c r="W66" s="117"/>
      <c r="X66" s="117"/>
      <c r="Y66" s="117"/>
    </row>
    <row r="67" spans="21:25" x14ac:dyDescent="0.45">
      <c r="U67" s="117"/>
      <c r="V67" s="165"/>
      <c r="W67" s="117"/>
      <c r="X67" s="117"/>
      <c r="Y67" s="117"/>
    </row>
    <row r="68" spans="21:25" x14ac:dyDescent="0.45">
      <c r="U68" s="117"/>
      <c r="V68" s="165"/>
      <c r="W68" s="117"/>
      <c r="X68" s="117"/>
      <c r="Y68" s="117"/>
    </row>
    <row r="69" spans="21:25" x14ac:dyDescent="0.45">
      <c r="U69" s="117"/>
      <c r="V69" s="165"/>
      <c r="W69" s="117"/>
      <c r="X69" s="117"/>
      <c r="Y69" s="117"/>
    </row>
    <row r="70" spans="21:25" x14ac:dyDescent="0.45">
      <c r="U70" s="117"/>
      <c r="V70" s="165"/>
      <c r="W70" s="117"/>
      <c r="X70" s="117"/>
      <c r="Y70" s="117"/>
    </row>
    <row r="71" spans="21:25" x14ac:dyDescent="0.45">
      <c r="U71" s="117"/>
      <c r="V71" s="165"/>
      <c r="W71" s="117"/>
      <c r="X71" s="117"/>
      <c r="Y71" s="117"/>
    </row>
  </sheetData>
  <customSheetViews>
    <customSheetView guid="{77FE9A31-615C-11D9-8076-000F3DEC765A}" showRuler="0" topLeftCell="A4">
      <selection activeCell="E15" sqref="E15"/>
      <pageMargins left="0" right="0.78740157480314965" top="0" bottom="0" header="0.51181102362204722" footer="0.51181102362204722"/>
      <pageSetup paperSize="9" orientation="landscape" r:id="rId1"/>
      <headerFooter alignWithMargins="0">
        <oddFooter>&amp;C&amp;"Compset,Normal"&amp;11يادداشتهاي توضيحي همراه ،جزء لاينفك صورتهاي مالي مي باشد.&amp;"Arial,Regular"&amp;10
صفحه (1)</oddFooter>
      </headerFooter>
    </customSheetView>
    <customSheetView guid="{8BABEDE0-61D1-11D9-A0C2-0080AD86BB50}" showRuler="0">
      <selection sqref="A1:O1"/>
      <pageMargins left="0" right="0.78740157480314965" top="0" bottom="0" header="0.51181102362204722" footer="0.51181102362204722"/>
      <pageSetup paperSize="9" orientation="landscape" r:id="rId2"/>
      <headerFooter alignWithMargins="0">
        <oddFooter>&amp;C&amp;"Compset,Normal"&amp;11يادداشتهاي توضيحي همراه ،جزء لاينفك صورتهاي مالي مي باشد.&amp;"Arial,Regular"&amp;10
صفحه (1)</oddFooter>
      </headerFooter>
    </customSheetView>
  </customSheetViews>
  <mergeCells count="2">
    <mergeCell ref="A23:S23"/>
    <mergeCell ref="A24:S24"/>
  </mergeCells>
  <phoneticPr fontId="0" type="noConversion"/>
  <printOptions horizontalCentered="1"/>
  <pageMargins left="0.59055118110236227" right="0.59055118110236227" top="1.2204724409448819" bottom="0.15748031496062992" header="0.23622047244094491" footer="0.27559055118110237"/>
  <pageSetup paperSize="9" firstPageNumber="2" orientation="landscape" useFirstPageNumber="1" r:id="rId3"/>
  <headerFooter alignWithMargins="0">
    <oddHeader>&amp;C&amp;"B Mitra,Bold"&amp;14&amp;Uشرکت شهاب صنعت ایساتیس (سهامی خاص)
ترازنامه
در تاریخ 29 اسفند ماه 1389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rightToLeft="1" zoomScaleSheetLayoutView="85" workbookViewId="0">
      <selection activeCell="E10" sqref="E10"/>
    </sheetView>
  </sheetViews>
  <sheetFormatPr defaultRowHeight="22.5" outlineLevelRow="1" x14ac:dyDescent="0.55000000000000004"/>
  <cols>
    <col min="1" max="1" width="42.42578125" style="98" customWidth="1"/>
    <col min="2" max="2" width="8.42578125" style="98" customWidth="1"/>
    <col min="3" max="3" width="2.5703125" style="97" customWidth="1"/>
    <col min="4" max="4" width="12.85546875" style="97" customWidth="1"/>
    <col min="5" max="5" width="15.5703125" style="97" hidden="1" customWidth="1"/>
    <col min="6" max="6" width="1.42578125" style="97" customWidth="1"/>
    <col min="7" max="7" width="12.85546875" style="97" customWidth="1"/>
    <col min="8" max="8" width="16.7109375" style="97" hidden="1" customWidth="1"/>
    <col min="9" max="9" width="1" style="97" customWidth="1"/>
    <col min="10" max="10" width="13.5703125" style="97" customWidth="1"/>
    <col min="11" max="11" width="16.7109375" style="97" hidden="1" customWidth="1"/>
    <col min="12" max="12" width="14.28515625" style="97" bestFit="1" customWidth="1"/>
    <col min="13" max="13" width="9.140625" style="97"/>
    <col min="14" max="15" width="13.7109375" style="97" bestFit="1" customWidth="1"/>
    <col min="16" max="16384" width="9.140625" style="97"/>
  </cols>
  <sheetData>
    <row r="1" spans="1:11" x14ac:dyDescent="0.55000000000000004">
      <c r="J1" s="100" t="s">
        <v>200</v>
      </c>
    </row>
    <row r="2" spans="1:11" ht="21.95" customHeight="1" x14ac:dyDescent="0.55000000000000004">
      <c r="A2" s="156"/>
      <c r="B2" s="157" t="s">
        <v>92</v>
      </c>
      <c r="C2" s="156"/>
      <c r="D2" s="280" t="s">
        <v>383</v>
      </c>
      <c r="E2" s="280"/>
      <c r="F2" s="280"/>
      <c r="G2" s="280"/>
      <c r="H2" s="280"/>
      <c r="I2" s="156"/>
      <c r="J2" s="280" t="s">
        <v>134</v>
      </c>
      <c r="K2" s="280"/>
    </row>
    <row r="3" spans="1:11" ht="21.95" customHeight="1" x14ac:dyDescent="0.55000000000000004">
      <c r="D3" s="156" t="s">
        <v>132</v>
      </c>
      <c r="E3" s="156" t="s">
        <v>120</v>
      </c>
      <c r="F3" s="156"/>
      <c r="G3" s="156" t="s">
        <v>132</v>
      </c>
      <c r="H3" s="156" t="s">
        <v>120</v>
      </c>
      <c r="I3" s="156"/>
      <c r="J3" s="156" t="s">
        <v>132</v>
      </c>
      <c r="K3" s="156" t="s">
        <v>120</v>
      </c>
    </row>
    <row r="4" spans="1:11" ht="21.95" customHeight="1" x14ac:dyDescent="0.55000000000000004">
      <c r="A4" s="102" t="s">
        <v>220</v>
      </c>
      <c r="B4" s="98">
        <v>18</v>
      </c>
      <c r="D4" s="115"/>
      <c r="E4" s="115"/>
      <c r="F4" s="102"/>
      <c r="G4" s="124">
        <f>'18'!E11</f>
        <v>47717</v>
      </c>
      <c r="H4" s="102" t="e">
        <f>'18'!#REF!</f>
        <v>#REF!</v>
      </c>
      <c r="I4" s="115"/>
      <c r="J4" s="124">
        <f>'18'!J11</f>
        <v>45739</v>
      </c>
      <c r="K4" s="102" t="e">
        <f>'18'!#REF!</f>
        <v>#REF!</v>
      </c>
    </row>
    <row r="5" spans="1:11" ht="21.95" customHeight="1" x14ac:dyDescent="0.55000000000000004">
      <c r="A5" s="102" t="s">
        <v>219</v>
      </c>
      <c r="B5" s="98">
        <v>19</v>
      </c>
      <c r="D5" s="115"/>
      <c r="E5" s="115"/>
      <c r="F5" s="115"/>
      <c r="G5" s="91">
        <f>-'19'!G13</f>
        <v>-36579</v>
      </c>
      <c r="H5" s="91">
        <f>-'19'!H13</f>
        <v>0</v>
      </c>
      <c r="I5" s="115"/>
      <c r="J5" s="91">
        <f>-'19'!J13</f>
        <v>-41472</v>
      </c>
      <c r="K5" s="91">
        <f>-'19'!K13</f>
        <v>2122243000</v>
      </c>
    </row>
    <row r="6" spans="1:11" ht="21.95" customHeight="1" x14ac:dyDescent="0.55000000000000004">
      <c r="A6" s="102" t="s">
        <v>98</v>
      </c>
      <c r="D6" s="115"/>
      <c r="E6" s="115"/>
      <c r="F6" s="115"/>
      <c r="G6" s="124">
        <f>SUM(G4:G5)</f>
        <v>11138</v>
      </c>
      <c r="H6" s="158" t="e">
        <f>SUM(H4:H5)</f>
        <v>#REF!</v>
      </c>
      <c r="I6" s="115"/>
      <c r="J6" s="124">
        <f>SUM(J4:J5)</f>
        <v>4267</v>
      </c>
      <c r="K6" s="158" t="e">
        <f>SUM(K4:K5)</f>
        <v>#REF!</v>
      </c>
    </row>
    <row r="7" spans="1:11" ht="21.95" customHeight="1" x14ac:dyDescent="0.55000000000000004">
      <c r="A7" s="102" t="s">
        <v>78</v>
      </c>
      <c r="B7" s="98">
        <v>20</v>
      </c>
      <c r="C7" s="156"/>
      <c r="D7" s="115">
        <f>-'20'!D25</f>
        <v>-3785</v>
      </c>
      <c r="E7" s="115">
        <f>-'20'!E25</f>
        <v>0</v>
      </c>
      <c r="F7" s="115"/>
      <c r="G7" s="115"/>
      <c r="H7" s="115"/>
      <c r="I7" s="115"/>
      <c r="J7" s="159">
        <f>-'20'!G25</f>
        <v>-2478</v>
      </c>
      <c r="K7" s="159">
        <f>-'20'!H25</f>
        <v>-168523984</v>
      </c>
    </row>
    <row r="8" spans="1:11" ht="21.95" customHeight="1" x14ac:dyDescent="0.55000000000000004">
      <c r="A8" s="102" t="s">
        <v>324</v>
      </c>
      <c r="B8" s="98">
        <v>21</v>
      </c>
      <c r="C8" s="156"/>
      <c r="D8" s="264">
        <f>'21-22-23'!H6</f>
        <v>40</v>
      </c>
      <c r="E8" s="91" t="e">
        <f>'20'!#REF!</f>
        <v>#REF!</v>
      </c>
      <c r="F8" s="115"/>
      <c r="G8" s="115"/>
      <c r="H8" s="115"/>
      <c r="I8" s="115"/>
      <c r="J8" s="265">
        <f>'21-22-23'!J6</f>
        <v>74</v>
      </c>
      <c r="K8" s="160" t="e">
        <f>'20'!#REF!</f>
        <v>#REF!</v>
      </c>
    </row>
    <row r="9" spans="1:11" s="116" customFormat="1" ht="21.95" customHeight="1" x14ac:dyDescent="0.55000000000000004">
      <c r="A9" s="115"/>
      <c r="B9" s="156"/>
      <c r="D9" s="115"/>
      <c r="E9" s="115"/>
      <c r="F9" s="115"/>
      <c r="G9" s="91">
        <f>SUM(D7:D8)</f>
        <v>-3745</v>
      </c>
      <c r="H9" s="91" t="e">
        <f>SUM(E7:E8)</f>
        <v>#REF!</v>
      </c>
      <c r="I9" s="115"/>
      <c r="J9" s="161">
        <f>SUM(J7:J8)</f>
        <v>-2404</v>
      </c>
      <c r="K9" s="161" t="e">
        <f>SUM(K7:K8)</f>
        <v>#REF!</v>
      </c>
    </row>
    <row r="10" spans="1:11" s="116" customFormat="1" ht="21.95" customHeight="1" x14ac:dyDescent="0.55000000000000004">
      <c r="A10" s="115" t="s">
        <v>99</v>
      </c>
      <c r="B10" s="156"/>
      <c r="D10" s="115"/>
      <c r="E10" s="115"/>
      <c r="F10" s="115"/>
      <c r="G10" s="124">
        <f>G6+G9</f>
        <v>7393</v>
      </c>
      <c r="H10" s="115" t="e">
        <f>H6+H9</f>
        <v>#REF!</v>
      </c>
      <c r="I10" s="115"/>
      <c r="J10" s="124">
        <f>J6+J9</f>
        <v>1863</v>
      </c>
      <c r="K10" s="115" t="e">
        <f>K6+K9</f>
        <v>#REF!</v>
      </c>
    </row>
    <row r="11" spans="1:11" ht="21.95" customHeight="1" x14ac:dyDescent="0.55000000000000004">
      <c r="A11" s="102" t="s">
        <v>64</v>
      </c>
      <c r="B11" s="98">
        <v>22</v>
      </c>
      <c r="C11" s="156"/>
      <c r="D11" s="115">
        <f>-'21-22-23'!H14</f>
        <v>-6634</v>
      </c>
      <c r="E11" s="115" t="e">
        <f>-'21-22-23'!#REF!</f>
        <v>#REF!</v>
      </c>
      <c r="F11" s="102"/>
      <c r="G11" s="115"/>
      <c r="H11" s="102"/>
      <c r="I11" s="115"/>
      <c r="J11" s="159">
        <f>-'21-22-23'!J14</f>
        <v>-1874</v>
      </c>
      <c r="K11" s="159" t="e">
        <f>-'21-22-23'!#REF!</f>
        <v>#REF!</v>
      </c>
    </row>
    <row r="12" spans="1:11" ht="21.95" customHeight="1" x14ac:dyDescent="0.55000000000000004">
      <c r="A12" s="102" t="s">
        <v>338</v>
      </c>
      <c r="C12" s="156"/>
      <c r="D12" s="264">
        <v>9</v>
      </c>
      <c r="E12" s="91" t="e">
        <f>'21-22-23'!#REF!</f>
        <v>#REF!</v>
      </c>
      <c r="F12" s="102"/>
      <c r="G12" s="115"/>
      <c r="H12" s="102"/>
      <c r="I12" s="115"/>
      <c r="J12" s="160">
        <v>10</v>
      </c>
      <c r="K12" s="160" t="e">
        <f>'21-22-23'!#REF!</f>
        <v>#REF!</v>
      </c>
    </row>
    <row r="13" spans="1:11" ht="21.95" customHeight="1" x14ac:dyDescent="0.55000000000000004">
      <c r="A13" s="102"/>
      <c r="C13" s="156"/>
      <c r="D13" s="115"/>
      <c r="E13" s="115"/>
      <c r="F13" s="102"/>
      <c r="G13" s="91">
        <f>SUM(D11:D12)</f>
        <v>-6625</v>
      </c>
      <c r="H13" s="91" t="e">
        <f>SUM(E11:E12)</f>
        <v>#REF!</v>
      </c>
      <c r="I13" s="115"/>
      <c r="J13" s="91">
        <f>SUM(J11:J12)</f>
        <v>-1864</v>
      </c>
      <c r="K13" s="91" t="e">
        <f>SUM(K11:K12)</f>
        <v>#REF!</v>
      </c>
    </row>
    <row r="14" spans="1:11" ht="21.95" customHeight="1" x14ac:dyDescent="0.55000000000000004">
      <c r="A14" s="102" t="s">
        <v>339</v>
      </c>
      <c r="D14" s="102"/>
      <c r="E14" s="115"/>
      <c r="F14" s="115"/>
      <c r="G14" s="124">
        <f>G10+G13</f>
        <v>768</v>
      </c>
      <c r="H14" s="102" t="e">
        <f>H10+H13</f>
        <v>#REF!</v>
      </c>
      <c r="I14" s="115"/>
      <c r="J14" s="102">
        <f>J10+J13</f>
        <v>-1</v>
      </c>
      <c r="K14" s="102" t="e">
        <f>K10+K13</f>
        <v>#REF!</v>
      </c>
    </row>
    <row r="15" spans="1:11" ht="21.95" customHeight="1" x14ac:dyDescent="0.55000000000000004">
      <c r="A15" s="102" t="s">
        <v>135</v>
      </c>
      <c r="D15" s="115"/>
      <c r="E15" s="115"/>
      <c r="F15" s="115"/>
      <c r="G15" s="268">
        <v>0</v>
      </c>
      <c r="H15" s="115"/>
      <c r="I15" s="115"/>
      <c r="J15" s="91">
        <v>-39</v>
      </c>
      <c r="K15" s="115"/>
    </row>
    <row r="16" spans="1:11" ht="21.95" customHeight="1" thickBot="1" x14ac:dyDescent="0.6">
      <c r="A16" s="102" t="s">
        <v>340</v>
      </c>
      <c r="D16" s="115"/>
      <c r="E16" s="115"/>
      <c r="F16" s="115"/>
      <c r="G16" s="40">
        <f>SUM(G14:G15)</f>
        <v>768</v>
      </c>
      <c r="H16" s="162" t="e">
        <f>SUM(H14:H15)</f>
        <v>#REF!</v>
      </c>
      <c r="I16" s="115"/>
      <c r="J16" s="162">
        <f>SUM(J14:J15)</f>
        <v>-40</v>
      </c>
      <c r="K16" s="162" t="e">
        <f>SUM(K14:K15)</f>
        <v>#REF!</v>
      </c>
    </row>
    <row r="17" spans="1:11" ht="21.95" customHeight="1" thickTop="1" x14ac:dyDescent="0.55000000000000004">
      <c r="A17" s="102"/>
      <c r="D17" s="116"/>
      <c r="E17" s="156"/>
      <c r="F17" s="156"/>
      <c r="G17" s="116"/>
      <c r="H17" s="156"/>
      <c r="I17" s="116"/>
      <c r="J17" s="156"/>
      <c r="K17" s="156"/>
    </row>
    <row r="18" spans="1:11" ht="21.95" customHeight="1" x14ac:dyDescent="0.55000000000000004">
      <c r="A18" s="102"/>
      <c r="D18" s="116"/>
      <c r="E18" s="156"/>
      <c r="F18" s="156"/>
      <c r="G18" s="116"/>
      <c r="H18" s="156"/>
      <c r="I18" s="116"/>
      <c r="J18" s="156"/>
      <c r="K18" s="156"/>
    </row>
    <row r="19" spans="1:11" ht="21.95" customHeight="1" x14ac:dyDescent="0.55000000000000004">
      <c r="A19" s="116"/>
      <c r="B19" s="280" t="s">
        <v>137</v>
      </c>
      <c r="C19" s="280"/>
      <c r="D19" s="280"/>
      <c r="E19" s="280"/>
      <c r="F19" s="280"/>
      <c r="G19" s="116"/>
      <c r="H19" s="116"/>
      <c r="I19" s="116"/>
      <c r="J19" s="116"/>
      <c r="K19" s="116"/>
    </row>
    <row r="20" spans="1:11" ht="21.95" customHeight="1" x14ac:dyDescent="0.55000000000000004">
      <c r="A20" s="102"/>
      <c r="D20" s="116"/>
      <c r="G20" s="116"/>
      <c r="I20" s="116"/>
      <c r="J20" s="116"/>
      <c r="K20" s="116"/>
    </row>
    <row r="21" spans="1:11" ht="21.95" customHeight="1" x14ac:dyDescent="0.55000000000000004">
      <c r="A21" s="100"/>
      <c r="B21" s="107"/>
      <c r="C21" s="104"/>
      <c r="D21" s="280" t="s">
        <v>383</v>
      </c>
      <c r="E21" s="280"/>
      <c r="F21" s="280"/>
      <c r="G21" s="280"/>
      <c r="H21" s="280"/>
      <c r="I21" s="156"/>
      <c r="J21" s="280" t="s">
        <v>134</v>
      </c>
      <c r="K21" s="280"/>
    </row>
    <row r="22" spans="1:11" ht="21.95" customHeight="1" x14ac:dyDescent="0.55000000000000004">
      <c r="A22" s="100"/>
      <c r="B22" s="100"/>
      <c r="C22" s="104"/>
      <c r="D22" s="98" t="s">
        <v>132</v>
      </c>
      <c r="E22" s="98" t="s">
        <v>120</v>
      </c>
      <c r="F22" s="98"/>
      <c r="G22" s="98" t="s">
        <v>132</v>
      </c>
      <c r="H22" s="98" t="s">
        <v>120</v>
      </c>
      <c r="I22" s="156"/>
      <c r="J22" s="98" t="s">
        <v>132</v>
      </c>
      <c r="K22" s="98" t="s">
        <v>120</v>
      </c>
    </row>
    <row r="23" spans="1:11" ht="21.95" customHeight="1" x14ac:dyDescent="0.55000000000000004">
      <c r="A23" s="102" t="s">
        <v>341</v>
      </c>
      <c r="B23" s="100"/>
      <c r="C23" s="104"/>
      <c r="D23" s="102"/>
      <c r="E23" s="115"/>
      <c r="F23" s="115"/>
      <c r="G23" s="124">
        <f>G16</f>
        <v>768</v>
      </c>
      <c r="H23" s="115" t="e">
        <f>H16</f>
        <v>#REF!</v>
      </c>
      <c r="I23" s="115"/>
      <c r="J23" s="115">
        <f>J16</f>
        <v>-40</v>
      </c>
      <c r="K23" s="115" t="e">
        <f>K16</f>
        <v>#REF!</v>
      </c>
    </row>
    <row r="24" spans="1:11" ht="21.95" customHeight="1" x14ac:dyDescent="0.55000000000000004">
      <c r="A24" s="102" t="s">
        <v>342</v>
      </c>
      <c r="B24" s="100"/>
      <c r="C24" s="104"/>
      <c r="D24" s="115">
        <v>-23167</v>
      </c>
      <c r="E24" s="189">
        <v>701406362</v>
      </c>
      <c r="F24" s="115"/>
      <c r="G24" s="102"/>
      <c r="H24" s="115"/>
      <c r="I24" s="115"/>
      <c r="J24" s="163">
        <v>-5193</v>
      </c>
      <c r="K24" s="163">
        <v>810196381</v>
      </c>
    </row>
    <row r="25" spans="1:11" ht="21.95" customHeight="1" x14ac:dyDescent="0.55000000000000004">
      <c r="A25" s="102" t="s">
        <v>71</v>
      </c>
      <c r="B25" s="100">
        <v>23</v>
      </c>
      <c r="C25" s="104"/>
      <c r="D25" s="91">
        <v>-795</v>
      </c>
      <c r="E25" s="91" t="e">
        <f>'21-22-23'!#REF!</f>
        <v>#REF!</v>
      </c>
      <c r="F25" s="115"/>
      <c r="G25" s="106"/>
      <c r="H25" s="115"/>
      <c r="I25" s="115"/>
      <c r="J25" s="173">
        <v>-18729</v>
      </c>
      <c r="K25" s="160">
        <f>1053371566-332716842</f>
        <v>720654724</v>
      </c>
    </row>
    <row r="26" spans="1:11" ht="21.95" customHeight="1" x14ac:dyDescent="0.55000000000000004">
      <c r="A26" s="102" t="s">
        <v>343</v>
      </c>
      <c r="B26" s="100"/>
      <c r="C26" s="104"/>
      <c r="D26" s="106"/>
      <c r="E26" s="106"/>
      <c r="F26" s="106"/>
      <c r="G26" s="112">
        <f>SUM(D24:D25)</f>
        <v>-23962</v>
      </c>
      <c r="H26" s="112" t="e">
        <f>SUM(E24:E25)</f>
        <v>#REF!</v>
      </c>
      <c r="I26" s="106"/>
      <c r="J26" s="91">
        <f>SUM(J24:J25)</f>
        <v>-23922</v>
      </c>
      <c r="K26" s="91">
        <f>SUM(K24:K25)</f>
        <v>1530851105</v>
      </c>
    </row>
    <row r="27" spans="1:11" ht="21.95" hidden="1" customHeight="1" x14ac:dyDescent="0.55000000000000004">
      <c r="A27" s="102" t="s">
        <v>102</v>
      </c>
      <c r="B27" s="100"/>
      <c r="C27" s="104"/>
      <c r="D27" s="106"/>
      <c r="E27" s="103"/>
      <c r="F27" s="103"/>
      <c r="G27" s="103">
        <f>SUM(G23:G26)</f>
        <v>-23194</v>
      </c>
      <c r="H27" s="103" t="e">
        <f>SUM(H23:H26)</f>
        <v>#REF!</v>
      </c>
      <c r="I27" s="106"/>
      <c r="J27" s="106">
        <f>J23+J26</f>
        <v>-23962</v>
      </c>
      <c r="K27" s="106" t="e">
        <f>K23+K26</f>
        <v>#REF!</v>
      </c>
    </row>
    <row r="28" spans="1:11" ht="21.95" hidden="1" customHeight="1" outlineLevel="1" x14ac:dyDescent="0.55000000000000004">
      <c r="A28" s="102" t="s">
        <v>136</v>
      </c>
      <c r="B28" s="100"/>
      <c r="C28" s="104"/>
      <c r="D28" s="106"/>
      <c r="E28" s="103"/>
      <c r="F28" s="103"/>
      <c r="G28" s="112">
        <f>+H28/1000000</f>
        <v>0</v>
      </c>
      <c r="H28" s="103"/>
      <c r="I28" s="106"/>
      <c r="J28" s="112" t="s">
        <v>20</v>
      </c>
      <c r="K28" s="112"/>
    </row>
    <row r="29" spans="1:11" ht="21.95" customHeight="1" collapsed="1" thickBot="1" x14ac:dyDescent="0.6">
      <c r="A29" s="102" t="s">
        <v>344</v>
      </c>
      <c r="B29" s="100"/>
      <c r="C29" s="104"/>
      <c r="D29" s="115"/>
      <c r="E29" s="106"/>
      <c r="F29" s="106"/>
      <c r="G29" s="114">
        <f>SUM(G27:G28)</f>
        <v>-23194</v>
      </c>
      <c r="H29" s="114" t="e">
        <f>SUM(H27:H28)</f>
        <v>#REF!</v>
      </c>
      <c r="I29" s="106"/>
      <c r="J29" s="114">
        <f>SUM(J27:J28)</f>
        <v>-23962</v>
      </c>
      <c r="K29" s="114" t="e">
        <f>SUM(K27:K28)</f>
        <v>#REF!</v>
      </c>
    </row>
    <row r="30" spans="1:11" ht="21.95" customHeight="1" thickTop="1" x14ac:dyDescent="0.55000000000000004">
      <c r="A30" s="102"/>
      <c r="B30" s="100"/>
      <c r="C30" s="104"/>
      <c r="D30" s="115"/>
      <c r="E30" s="106"/>
      <c r="F30" s="106"/>
      <c r="G30" s="106"/>
      <c r="H30" s="106"/>
      <c r="I30" s="106"/>
      <c r="J30" s="106"/>
      <c r="K30" s="106"/>
    </row>
    <row r="31" spans="1:11" ht="21.95" customHeight="1" x14ac:dyDescent="0.55000000000000004">
      <c r="A31" s="102"/>
      <c r="B31" s="100"/>
      <c r="C31" s="104"/>
      <c r="D31" s="115"/>
      <c r="E31" s="106"/>
      <c r="F31" s="106"/>
      <c r="G31" s="106"/>
      <c r="H31" s="106"/>
      <c r="I31" s="106"/>
      <c r="J31" s="106"/>
      <c r="K31" s="106"/>
    </row>
    <row r="32" spans="1:11" ht="21.95" customHeight="1" x14ac:dyDescent="0.55000000000000004">
      <c r="I32" s="116"/>
    </row>
    <row r="33" spans="1:11" ht="21.95" customHeight="1" x14ac:dyDescent="0.55000000000000004">
      <c r="A33" s="278" t="s">
        <v>345</v>
      </c>
      <c r="B33" s="278"/>
      <c r="C33" s="278"/>
      <c r="D33" s="278"/>
      <c r="E33" s="278"/>
      <c r="F33" s="278"/>
      <c r="G33" s="278"/>
      <c r="H33" s="278"/>
      <c r="I33" s="278"/>
      <c r="J33" s="278"/>
      <c r="K33" s="278"/>
    </row>
    <row r="34" spans="1:11" ht="21.95" customHeight="1" x14ac:dyDescent="0.55000000000000004">
      <c r="A34" s="278" t="s">
        <v>218</v>
      </c>
      <c r="B34" s="278"/>
      <c r="C34" s="278"/>
      <c r="D34" s="278"/>
      <c r="E34" s="278"/>
      <c r="F34" s="278"/>
      <c r="G34" s="278"/>
      <c r="H34" s="278"/>
      <c r="I34" s="278"/>
      <c r="J34" s="278"/>
      <c r="K34" s="278"/>
    </row>
    <row r="35" spans="1:11" ht="21.95" customHeight="1" x14ac:dyDescent="0.55000000000000004">
      <c r="C35" s="98"/>
      <c r="D35" s="98"/>
      <c r="E35" s="98"/>
      <c r="F35" s="98"/>
      <c r="G35" s="98"/>
      <c r="H35" s="98"/>
      <c r="I35" s="98"/>
      <c r="J35" s="98"/>
      <c r="K35" s="98"/>
    </row>
    <row r="36" spans="1:11" ht="21.95" customHeight="1" x14ac:dyDescent="0.55000000000000004">
      <c r="A36" s="279">
        <v>3</v>
      </c>
      <c r="B36" s="279"/>
      <c r="C36" s="279"/>
      <c r="D36" s="279"/>
      <c r="E36" s="279"/>
      <c r="F36" s="279"/>
      <c r="G36" s="279"/>
      <c r="H36" s="279"/>
      <c r="I36" s="279"/>
      <c r="J36" s="279"/>
    </row>
  </sheetData>
  <customSheetViews>
    <customSheetView guid="{77FE9A31-615C-11D9-8076-000F3DEC765A}" showPageBreaks="1" showRuler="0" topLeftCell="A3">
      <selection activeCell="D13" sqref="D13"/>
      <pageMargins left="0" right="0.55118110236220474" top="0.19685039370078741" bottom="0" header="0.51181102362204722" footer="0.51181102362204722"/>
      <pageSetup paperSize="9" orientation="portrait" r:id="rId1"/>
      <headerFooter alignWithMargins="0">
        <oddFooter>&amp;C&amp;"Compset,Normal"يادداشتهاي توضيحي همراه ،جزء لاينفك صورتهاي مالي مي باشد.
صفحه (2)</oddFooter>
      </headerFooter>
    </customSheetView>
    <customSheetView guid="{8BABEDE0-61D1-11D9-A0C2-0080AD86BB50}" showRuler="0" topLeftCell="A3">
      <selection activeCell="D13" sqref="D13"/>
      <pageMargins left="0" right="0.55118110236220474" top="0.19685039370078741" bottom="0" header="0.51181102362204722" footer="0.51181102362204722"/>
      <pageSetup paperSize="9" orientation="portrait" r:id="rId2"/>
      <headerFooter alignWithMargins="0">
        <oddFooter>&amp;C&amp;"Compset,Normal"يادداشتهاي توضيحي همراه ،جزء لاينفك صورتهاي مالي مي باشد.
صفحه (2)</oddFooter>
      </headerFooter>
    </customSheetView>
  </customSheetViews>
  <mergeCells count="8">
    <mergeCell ref="A34:K34"/>
    <mergeCell ref="A36:J36"/>
    <mergeCell ref="D2:H2"/>
    <mergeCell ref="J2:K2"/>
    <mergeCell ref="D21:H21"/>
    <mergeCell ref="J21:K21"/>
    <mergeCell ref="A33:K33"/>
    <mergeCell ref="B19:F19"/>
  </mergeCells>
  <phoneticPr fontId="0" type="noConversion"/>
  <printOptions horizontalCentered="1"/>
  <pageMargins left="0.27559055118110237" right="0.27559055118110237" top="1.3779527559055118" bottom="0" header="0.39370078740157483" footer="0.51181102362204722"/>
  <pageSetup paperSize="9" orientation="portrait" r:id="rId3"/>
  <headerFooter alignWithMargins="0">
    <oddHeader>&amp;C&amp;"B Mitra,Bold"&amp;14&amp;Uشرکت شهاب صنعت ایساتیس (سهامی خاص)
صورت سود و زیان
برای سال مالی منتهی به 29 اسفند ماه 1389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rightToLeft="1" zoomScaleSheetLayoutView="100" workbookViewId="0">
      <selection activeCell="D9" sqref="D9:J15"/>
    </sheetView>
  </sheetViews>
  <sheetFormatPr defaultRowHeight="18" x14ac:dyDescent="0.2"/>
  <cols>
    <col min="1" max="1" width="4" style="5" bestFit="1" customWidth="1"/>
    <col min="2" max="2" width="6.28515625" style="5" customWidth="1"/>
    <col min="3" max="3" width="8.28515625" style="5" customWidth="1"/>
    <col min="4" max="4" width="20.5703125" style="5" customWidth="1"/>
    <col min="5" max="5" width="3.140625" style="5" customWidth="1"/>
    <col min="6" max="6" width="14" style="5" customWidth="1"/>
    <col min="7" max="7" width="1.7109375" style="5" customWidth="1"/>
    <col min="8" max="8" width="9.140625" style="5" customWidth="1"/>
    <col min="9" max="9" width="3.28515625" style="5" customWidth="1"/>
    <col min="10" max="10" width="17.28515625" style="5" customWidth="1"/>
    <col min="11" max="11" width="5.85546875" style="9" customWidth="1"/>
    <col min="12" max="16384" width="9.140625" style="9"/>
  </cols>
  <sheetData>
    <row r="1" spans="1:11" ht="20.100000000000001" customHeight="1" x14ac:dyDescent="0.55000000000000004">
      <c r="A1" s="25" t="s">
        <v>36</v>
      </c>
      <c r="B1" s="14" t="s">
        <v>83</v>
      </c>
      <c r="C1" s="14"/>
      <c r="D1" s="14"/>
      <c r="E1" s="31"/>
      <c r="F1" s="31"/>
      <c r="G1" s="31"/>
      <c r="H1" s="32"/>
      <c r="I1" s="29"/>
      <c r="J1" s="32"/>
    </row>
    <row r="2" spans="1:11" ht="20.25" customHeight="1" x14ac:dyDescent="0.55000000000000004">
      <c r="A2" s="30"/>
      <c r="B2" s="30" t="s">
        <v>128</v>
      </c>
      <c r="C2" s="31" t="s">
        <v>127</v>
      </c>
      <c r="D2" s="31"/>
      <c r="E2" s="31"/>
      <c r="F2" s="31"/>
      <c r="G2" s="31"/>
      <c r="H2" s="32"/>
      <c r="I2" s="29"/>
      <c r="J2" s="32"/>
    </row>
    <row r="3" spans="1:11" ht="20.25" customHeight="1" x14ac:dyDescent="0.55000000000000004">
      <c r="A3" s="30"/>
      <c r="B3" s="30"/>
      <c r="C3" s="30"/>
      <c r="D3" s="284" t="s">
        <v>380</v>
      </c>
      <c r="E3" s="284"/>
      <c r="F3" s="284"/>
      <c r="G3" s="284"/>
      <c r="H3" s="284"/>
      <c r="I3" s="284"/>
      <c r="J3" s="284"/>
      <c r="K3" s="181"/>
    </row>
    <row r="4" spans="1:11" ht="20.25" customHeight="1" x14ac:dyDescent="0.55000000000000004">
      <c r="A4" s="31"/>
      <c r="B4" s="31"/>
      <c r="C4" s="31"/>
      <c r="D4" s="284"/>
      <c r="E4" s="284"/>
      <c r="F4" s="284"/>
      <c r="G4" s="284"/>
      <c r="H4" s="284"/>
      <c r="I4" s="284"/>
      <c r="J4" s="284"/>
      <c r="K4" s="181"/>
    </row>
    <row r="5" spans="1:11" ht="20.25" customHeight="1" x14ac:dyDescent="0.55000000000000004">
      <c r="A5" s="31"/>
      <c r="B5" s="31"/>
      <c r="C5" s="31"/>
      <c r="D5" s="284"/>
      <c r="E5" s="284"/>
      <c r="F5" s="284"/>
      <c r="G5" s="284"/>
      <c r="H5" s="284"/>
      <c r="I5" s="284"/>
      <c r="J5" s="284"/>
      <c r="K5" s="181"/>
    </row>
    <row r="6" spans="1:11" ht="20.25" customHeight="1" x14ac:dyDescent="0.55000000000000004">
      <c r="A6" s="31"/>
      <c r="B6" s="31"/>
      <c r="C6" s="31"/>
      <c r="D6" s="284"/>
      <c r="E6" s="284"/>
      <c r="F6" s="284"/>
      <c r="G6" s="284"/>
      <c r="H6" s="284"/>
      <c r="I6" s="284"/>
      <c r="J6" s="284"/>
      <c r="K6" s="181"/>
    </row>
    <row r="7" spans="1:11" ht="20.25" customHeight="1" x14ac:dyDescent="0.55000000000000004">
      <c r="A7" s="29"/>
      <c r="B7" s="29"/>
      <c r="C7" s="29"/>
      <c r="D7" s="284"/>
      <c r="E7" s="284"/>
      <c r="F7" s="284"/>
      <c r="G7" s="284"/>
      <c r="H7" s="284"/>
      <c r="I7" s="284"/>
      <c r="J7" s="284"/>
      <c r="K7" s="181"/>
    </row>
    <row r="8" spans="1:11" ht="21" customHeight="1" x14ac:dyDescent="0.55000000000000004">
      <c r="A8" s="30"/>
      <c r="B8" s="30" t="s">
        <v>130</v>
      </c>
      <c r="C8" s="31" t="s">
        <v>129</v>
      </c>
      <c r="D8" s="31"/>
      <c r="E8" s="31"/>
      <c r="F8" s="31"/>
      <c r="G8" s="31"/>
      <c r="H8" s="32"/>
      <c r="I8" s="27"/>
      <c r="J8" s="34"/>
    </row>
    <row r="9" spans="1:11" ht="21" customHeight="1" x14ac:dyDescent="0.55000000000000004">
      <c r="A9" s="29"/>
      <c r="B9" s="29"/>
      <c r="C9" s="29"/>
      <c r="D9" s="281" t="s">
        <v>381</v>
      </c>
      <c r="E9" s="281"/>
      <c r="F9" s="281"/>
      <c r="G9" s="281"/>
      <c r="H9" s="281"/>
      <c r="I9" s="281"/>
      <c r="J9" s="281"/>
    </row>
    <row r="10" spans="1:11" ht="21" customHeight="1" x14ac:dyDescent="0.55000000000000004">
      <c r="A10" s="29"/>
      <c r="B10" s="29"/>
      <c r="C10" s="29"/>
      <c r="D10" s="281"/>
      <c r="E10" s="281"/>
      <c r="F10" s="281"/>
      <c r="G10" s="281"/>
      <c r="H10" s="281"/>
      <c r="I10" s="281"/>
      <c r="J10" s="281"/>
    </row>
    <row r="11" spans="1:11" ht="21" customHeight="1" x14ac:dyDescent="0.55000000000000004">
      <c r="A11" s="29"/>
      <c r="B11" s="29"/>
      <c r="C11" s="29"/>
      <c r="D11" s="281"/>
      <c r="E11" s="281"/>
      <c r="F11" s="281"/>
      <c r="G11" s="281"/>
      <c r="H11" s="281"/>
      <c r="I11" s="281"/>
      <c r="J11" s="281"/>
    </row>
    <row r="12" spans="1:11" ht="21" customHeight="1" x14ac:dyDescent="0.55000000000000004">
      <c r="A12" s="29"/>
      <c r="B12" s="29"/>
      <c r="C12" s="29"/>
      <c r="D12" s="281"/>
      <c r="E12" s="281"/>
      <c r="F12" s="281"/>
      <c r="G12" s="281"/>
      <c r="H12" s="281"/>
      <c r="I12" s="281"/>
      <c r="J12" s="281"/>
    </row>
    <row r="13" spans="1:11" ht="21" customHeight="1" x14ac:dyDescent="0.55000000000000004">
      <c r="A13" s="29"/>
      <c r="B13" s="29"/>
      <c r="C13" s="29"/>
      <c r="D13" s="281"/>
      <c r="E13" s="281"/>
      <c r="F13" s="281"/>
      <c r="G13" s="281"/>
      <c r="H13" s="281"/>
      <c r="I13" s="281"/>
      <c r="J13" s="281"/>
    </row>
    <row r="14" spans="1:11" ht="21" customHeight="1" x14ac:dyDescent="0.55000000000000004">
      <c r="A14" s="29"/>
      <c r="B14" s="29"/>
      <c r="C14" s="29"/>
      <c r="D14" s="281"/>
      <c r="E14" s="281"/>
      <c r="F14" s="281"/>
      <c r="G14" s="281"/>
      <c r="H14" s="281"/>
      <c r="I14" s="281"/>
      <c r="J14" s="281"/>
    </row>
    <row r="15" spans="1:11" ht="21.75" customHeight="1" x14ac:dyDescent="0.55000000000000004">
      <c r="A15" s="29"/>
      <c r="B15" s="29"/>
      <c r="C15" s="29"/>
      <c r="D15" s="281"/>
      <c r="E15" s="281"/>
      <c r="F15" s="281"/>
      <c r="G15" s="281"/>
      <c r="H15" s="281"/>
      <c r="I15" s="281"/>
      <c r="J15" s="281"/>
    </row>
    <row r="16" spans="1:11" ht="20.100000000000001" customHeight="1" x14ac:dyDescent="0.55000000000000004">
      <c r="A16" s="29"/>
      <c r="B16" s="29"/>
      <c r="C16" s="29"/>
      <c r="D16" s="33"/>
      <c r="E16" s="33"/>
      <c r="F16" s="33"/>
      <c r="G16" s="33"/>
      <c r="H16" s="33"/>
      <c r="I16" s="33"/>
      <c r="J16" s="33"/>
    </row>
    <row r="17" spans="1:10" ht="20.100000000000001" customHeight="1" x14ac:dyDescent="0.55000000000000004">
      <c r="A17" s="30"/>
      <c r="B17" s="30" t="s">
        <v>90</v>
      </c>
      <c r="C17" s="31" t="s">
        <v>207</v>
      </c>
      <c r="D17" s="31"/>
      <c r="E17" s="31"/>
      <c r="F17" s="31"/>
      <c r="G17" s="31"/>
      <c r="H17" s="32"/>
      <c r="I17" s="27"/>
      <c r="J17" s="32"/>
    </row>
    <row r="18" spans="1:10" ht="20.100000000000001" customHeight="1" x14ac:dyDescent="0.55000000000000004">
      <c r="A18" s="30"/>
      <c r="B18" s="30"/>
      <c r="C18" s="177" t="s">
        <v>208</v>
      </c>
      <c r="D18" s="177"/>
      <c r="E18" s="177"/>
      <c r="F18" s="177"/>
      <c r="G18" s="177"/>
      <c r="H18" s="178"/>
      <c r="I18" s="152"/>
      <c r="J18" s="32"/>
    </row>
    <row r="19" spans="1:10" ht="20.100000000000001" customHeight="1" x14ac:dyDescent="0.55000000000000004">
      <c r="A19" s="30"/>
      <c r="B19" s="30"/>
      <c r="C19" s="177"/>
      <c r="D19" s="177"/>
      <c r="E19" s="177"/>
      <c r="F19" s="179">
        <v>1389</v>
      </c>
      <c r="G19" s="177"/>
      <c r="H19" s="287">
        <v>1388</v>
      </c>
      <c r="I19" s="287"/>
      <c r="J19" s="32"/>
    </row>
    <row r="20" spans="1:10" ht="20.100000000000001" customHeight="1" x14ac:dyDescent="0.55000000000000004">
      <c r="A20" s="30"/>
      <c r="B20" s="30"/>
      <c r="C20" s="177"/>
      <c r="D20" s="177"/>
      <c r="E20" s="177"/>
      <c r="F20" s="152" t="s">
        <v>209</v>
      </c>
      <c r="G20" s="152"/>
      <c r="H20" s="286" t="s">
        <v>209</v>
      </c>
      <c r="I20" s="286"/>
      <c r="J20" s="32"/>
    </row>
    <row r="21" spans="1:10" ht="20.100000000000001" customHeight="1" x14ac:dyDescent="0.55000000000000004">
      <c r="A21" s="30"/>
      <c r="B21" s="30"/>
      <c r="C21" s="177"/>
      <c r="D21" s="31" t="s">
        <v>210</v>
      </c>
      <c r="E21" s="31"/>
      <c r="F21" s="27">
        <v>22</v>
      </c>
      <c r="G21" s="27"/>
      <c r="H21" s="288">
        <v>20</v>
      </c>
      <c r="I21" s="288"/>
      <c r="J21" s="32"/>
    </row>
    <row r="22" spans="1:10" ht="20.100000000000001" customHeight="1" x14ac:dyDescent="0.55000000000000004">
      <c r="A22" s="30"/>
      <c r="B22" s="30"/>
      <c r="C22" s="31"/>
      <c r="D22" s="31" t="s">
        <v>211</v>
      </c>
      <c r="E22" s="31"/>
      <c r="F22" s="27">
        <v>133</v>
      </c>
      <c r="G22" s="27"/>
      <c r="H22" s="289">
        <v>131</v>
      </c>
      <c r="I22" s="289"/>
      <c r="J22" s="32"/>
    </row>
    <row r="23" spans="1:10" ht="20.100000000000001" customHeight="1" thickBot="1" x14ac:dyDescent="0.6">
      <c r="A23" s="30"/>
      <c r="B23" s="30"/>
      <c r="C23" s="31"/>
      <c r="D23" s="31"/>
      <c r="E23" s="31"/>
      <c r="F23" s="180">
        <f>SUM(F21:F22)</f>
        <v>155</v>
      </c>
      <c r="G23" s="27"/>
      <c r="H23" s="285">
        <f>SUM(H21:I22)</f>
        <v>151</v>
      </c>
      <c r="I23" s="285"/>
      <c r="J23" s="32"/>
    </row>
    <row r="24" spans="1:10" ht="20.100000000000001" customHeight="1" thickTop="1" x14ac:dyDescent="0.55000000000000004">
      <c r="A24" s="30"/>
      <c r="B24" s="30"/>
      <c r="C24" s="31"/>
      <c r="D24" s="9"/>
      <c r="E24" s="9"/>
      <c r="F24" s="9"/>
      <c r="G24" s="9"/>
      <c r="H24" s="9"/>
      <c r="I24" s="9"/>
      <c r="J24" s="32"/>
    </row>
    <row r="25" spans="1:10" ht="20.100000000000001" customHeight="1" x14ac:dyDescent="0.55000000000000004">
      <c r="A25" s="25" t="s">
        <v>37</v>
      </c>
      <c r="B25" s="14" t="s">
        <v>28</v>
      </c>
      <c r="C25" s="31"/>
      <c r="D25" s="31"/>
      <c r="E25" s="31"/>
      <c r="F25" s="31"/>
      <c r="G25" s="31"/>
      <c r="H25" s="32"/>
      <c r="I25" s="27"/>
      <c r="J25" s="34"/>
    </row>
    <row r="26" spans="1:10" ht="23.25" customHeight="1" x14ac:dyDescent="0.55000000000000004">
      <c r="A26" s="29"/>
      <c r="B26" s="29"/>
      <c r="C26" s="290" t="s">
        <v>45</v>
      </c>
      <c r="D26" s="290"/>
      <c r="E26" s="290"/>
      <c r="F26" s="290"/>
      <c r="G26" s="290"/>
      <c r="H26" s="290"/>
      <c r="I26" s="290"/>
      <c r="J26" s="290"/>
    </row>
    <row r="27" spans="1:10" ht="23.25" customHeight="1" x14ac:dyDescent="0.55000000000000004">
      <c r="A27" s="29"/>
      <c r="B27" s="29"/>
      <c r="C27" s="290"/>
      <c r="D27" s="290"/>
      <c r="E27" s="290"/>
      <c r="F27" s="290"/>
      <c r="G27" s="290"/>
      <c r="H27" s="290"/>
      <c r="I27" s="290"/>
      <c r="J27" s="290"/>
    </row>
    <row r="28" spans="1:10" ht="23.25" customHeight="1" x14ac:dyDescent="0.55000000000000004">
      <c r="A28" s="29"/>
      <c r="B28" s="29"/>
      <c r="C28" s="186"/>
      <c r="D28" s="186"/>
      <c r="E28" s="186"/>
      <c r="F28" s="186"/>
      <c r="G28" s="186"/>
      <c r="H28" s="186"/>
      <c r="I28" s="186"/>
      <c r="J28" s="186"/>
    </row>
    <row r="29" spans="1:10" ht="23.25" customHeight="1" x14ac:dyDescent="0.55000000000000004">
      <c r="A29" s="29"/>
      <c r="B29" s="29"/>
      <c r="C29" s="186"/>
      <c r="D29" s="186"/>
      <c r="E29" s="186"/>
      <c r="F29" s="186"/>
      <c r="G29" s="186"/>
      <c r="H29" s="186"/>
      <c r="I29" s="186"/>
      <c r="J29" s="186"/>
    </row>
    <row r="30" spans="1:10" ht="23.25" customHeight="1" x14ac:dyDescent="0.55000000000000004">
      <c r="A30" s="29"/>
      <c r="B30" s="29"/>
      <c r="C30" s="186"/>
      <c r="D30" s="186"/>
      <c r="E30" s="186"/>
      <c r="F30" s="186"/>
      <c r="G30" s="186"/>
      <c r="H30" s="186"/>
      <c r="I30" s="186"/>
      <c r="J30" s="186"/>
    </row>
    <row r="31" spans="1:10" ht="23.25" customHeight="1" x14ac:dyDescent="0.55000000000000004">
      <c r="A31" s="29"/>
      <c r="B31" s="29"/>
      <c r="C31" s="186"/>
      <c r="D31" s="186"/>
      <c r="E31" s="186"/>
      <c r="F31" s="186"/>
      <c r="G31" s="186"/>
      <c r="H31" s="186"/>
      <c r="I31" s="186"/>
      <c r="J31" s="186"/>
    </row>
    <row r="32" spans="1:10" ht="23.25" customHeight="1" x14ac:dyDescent="0.55000000000000004">
      <c r="A32" s="29"/>
      <c r="B32" s="29"/>
      <c r="C32" s="186"/>
      <c r="D32" s="186"/>
      <c r="E32" s="186"/>
      <c r="F32" s="186"/>
      <c r="G32" s="186"/>
      <c r="H32" s="186"/>
      <c r="I32" s="186"/>
      <c r="J32" s="186"/>
    </row>
    <row r="33" spans="1:10" ht="23.25" customHeight="1" x14ac:dyDescent="0.55000000000000004">
      <c r="A33" s="29"/>
      <c r="B33" s="29"/>
      <c r="C33" s="186"/>
      <c r="D33" s="186"/>
      <c r="E33" s="186"/>
      <c r="F33" s="186"/>
      <c r="G33" s="186"/>
      <c r="H33" s="186"/>
      <c r="I33" s="186"/>
      <c r="J33" s="186"/>
    </row>
    <row r="34" spans="1:10" ht="22.5" x14ac:dyDescent="0.55000000000000004">
      <c r="A34" s="283">
        <v>5</v>
      </c>
      <c r="B34" s="283"/>
      <c r="C34" s="283"/>
      <c r="D34" s="283"/>
      <c r="E34" s="283"/>
      <c r="F34" s="283"/>
      <c r="G34" s="283"/>
      <c r="H34" s="283"/>
      <c r="I34" s="283"/>
      <c r="J34" s="283"/>
    </row>
    <row r="35" spans="1:10" ht="24.75" customHeight="1" x14ac:dyDescent="0.55000000000000004">
      <c r="A35" s="25" t="s">
        <v>38</v>
      </c>
      <c r="B35" s="14" t="s">
        <v>29</v>
      </c>
      <c r="C35" s="31"/>
      <c r="D35" s="31"/>
      <c r="E35" s="31"/>
      <c r="F35" s="31"/>
      <c r="G35" s="31"/>
      <c r="H35" s="32"/>
      <c r="I35" s="29"/>
      <c r="J35" s="32"/>
    </row>
    <row r="36" spans="1:10" ht="24" customHeight="1" x14ac:dyDescent="0.55000000000000004">
      <c r="A36" s="30"/>
      <c r="B36" s="30" t="s">
        <v>46</v>
      </c>
      <c r="C36" s="31" t="s">
        <v>131</v>
      </c>
      <c r="D36" s="31"/>
      <c r="E36" s="31"/>
      <c r="F36" s="31"/>
      <c r="G36" s="31"/>
      <c r="H36" s="32"/>
      <c r="I36" s="29"/>
      <c r="J36" s="32"/>
    </row>
    <row r="37" spans="1:10" ht="31.5" customHeight="1" x14ac:dyDescent="0.55000000000000004">
      <c r="A37" s="30"/>
      <c r="B37" s="30"/>
      <c r="C37" s="30"/>
      <c r="D37" s="284" t="s">
        <v>227</v>
      </c>
      <c r="E37" s="284"/>
      <c r="F37" s="284"/>
      <c r="G37" s="284"/>
      <c r="H37" s="284"/>
      <c r="I37" s="284"/>
      <c r="J37" s="284"/>
    </row>
    <row r="38" spans="1:10" ht="31.5" customHeight="1" x14ac:dyDescent="0.55000000000000004">
      <c r="A38" s="31"/>
      <c r="B38" s="31"/>
      <c r="C38" s="31"/>
      <c r="D38" s="284"/>
      <c r="E38" s="284"/>
      <c r="F38" s="284"/>
      <c r="G38" s="284"/>
      <c r="H38" s="284"/>
      <c r="I38" s="284"/>
      <c r="J38" s="284"/>
    </row>
    <row r="39" spans="1:10" ht="24" customHeight="1" x14ac:dyDescent="0.55000000000000004">
      <c r="A39" s="29"/>
      <c r="B39" s="29"/>
      <c r="C39" s="29"/>
      <c r="D39" s="284"/>
      <c r="E39" s="284"/>
      <c r="F39" s="284"/>
      <c r="G39" s="284"/>
      <c r="H39" s="284"/>
      <c r="I39" s="284"/>
      <c r="J39" s="284"/>
    </row>
    <row r="40" spans="1:10" ht="20.100000000000001" customHeight="1" x14ac:dyDescent="0.55000000000000004">
      <c r="A40" s="29"/>
      <c r="B40" s="29"/>
      <c r="C40" s="29"/>
      <c r="D40" s="31"/>
      <c r="E40" s="31"/>
      <c r="F40" s="31"/>
      <c r="G40" s="291" t="s">
        <v>30</v>
      </c>
      <c r="H40" s="291"/>
      <c r="I40" s="291"/>
      <c r="J40" s="291"/>
    </row>
    <row r="41" spans="1:10" ht="20.100000000000001" customHeight="1" x14ac:dyDescent="0.55000000000000004">
      <c r="A41" s="30"/>
      <c r="B41" s="30"/>
      <c r="C41" s="30"/>
      <c r="D41" s="31" t="s">
        <v>234</v>
      </c>
      <c r="E41" s="31"/>
      <c r="F41" s="31"/>
      <c r="G41" s="282" t="s">
        <v>264</v>
      </c>
      <c r="H41" s="282"/>
      <c r="I41" s="282"/>
      <c r="J41" s="282"/>
    </row>
    <row r="42" spans="1:10" ht="20.100000000000001" customHeight="1" x14ac:dyDescent="0.55000000000000004">
      <c r="A42" s="29"/>
      <c r="B42" s="29"/>
      <c r="C42" s="29"/>
      <c r="D42" s="31" t="s">
        <v>5</v>
      </c>
      <c r="E42" s="31"/>
      <c r="F42" s="31"/>
      <c r="G42" s="282" t="s">
        <v>265</v>
      </c>
      <c r="H42" s="282"/>
      <c r="I42" s="282"/>
      <c r="J42" s="282"/>
    </row>
    <row r="43" spans="1:10" ht="20.100000000000001" customHeight="1" x14ac:dyDescent="0.55000000000000004">
      <c r="A43" s="30"/>
      <c r="B43" s="30" t="s">
        <v>47</v>
      </c>
      <c r="C43" s="31" t="s">
        <v>82</v>
      </c>
      <c r="D43" s="31"/>
      <c r="E43" s="31"/>
      <c r="F43" s="31"/>
      <c r="G43" s="31"/>
      <c r="H43" s="31"/>
      <c r="I43" s="31"/>
      <c r="J43" s="27"/>
    </row>
    <row r="44" spans="1:10" ht="21.75" customHeight="1" x14ac:dyDescent="0.55000000000000004">
      <c r="A44" s="30"/>
      <c r="B44" s="30"/>
      <c r="C44" s="30" t="s">
        <v>48</v>
      </c>
      <c r="D44" s="281" t="s">
        <v>123</v>
      </c>
      <c r="E44" s="281"/>
      <c r="F44" s="281"/>
      <c r="G44" s="281"/>
      <c r="H44" s="281"/>
      <c r="I44" s="281"/>
      <c r="J44" s="281"/>
    </row>
    <row r="45" spans="1:10" ht="22.5" x14ac:dyDescent="0.55000000000000004">
      <c r="A45" s="29"/>
      <c r="B45" s="29"/>
      <c r="C45" s="29"/>
      <c r="D45" s="281"/>
      <c r="E45" s="281"/>
      <c r="F45" s="281"/>
      <c r="G45" s="281"/>
      <c r="H45" s="281"/>
      <c r="I45" s="281"/>
      <c r="J45" s="281"/>
    </row>
    <row r="46" spans="1:10" ht="22.5" x14ac:dyDescent="0.55000000000000004">
      <c r="A46" s="29"/>
      <c r="B46" s="29"/>
      <c r="C46" s="29"/>
      <c r="D46" s="281"/>
      <c r="E46" s="281"/>
      <c r="F46" s="281"/>
      <c r="G46" s="281"/>
      <c r="H46" s="281"/>
      <c r="I46" s="281"/>
      <c r="J46" s="281"/>
    </row>
    <row r="47" spans="1:10" ht="22.5" x14ac:dyDescent="0.55000000000000004">
      <c r="A47" s="29"/>
      <c r="B47" s="29"/>
      <c r="C47" s="29"/>
      <c r="D47" s="281"/>
      <c r="E47" s="281"/>
      <c r="F47" s="281"/>
      <c r="G47" s="281"/>
      <c r="H47" s="281"/>
      <c r="I47" s="281"/>
      <c r="J47" s="281"/>
    </row>
    <row r="48" spans="1:10" ht="22.5" x14ac:dyDescent="0.55000000000000004">
      <c r="A48" s="30"/>
      <c r="B48" s="30"/>
      <c r="C48" s="30"/>
      <c r="D48" s="281"/>
      <c r="E48" s="281"/>
      <c r="F48" s="281"/>
      <c r="G48" s="281"/>
      <c r="H48" s="281"/>
      <c r="I48" s="281"/>
      <c r="J48" s="281"/>
    </row>
    <row r="49" spans="1:10" ht="22.5" x14ac:dyDescent="0.55000000000000004">
      <c r="A49" s="29"/>
      <c r="B49" s="29"/>
      <c r="C49" s="29"/>
      <c r="D49" s="281"/>
      <c r="E49" s="281"/>
      <c r="F49" s="281"/>
      <c r="G49" s="281"/>
      <c r="H49" s="281"/>
      <c r="I49" s="281"/>
      <c r="J49" s="281"/>
    </row>
    <row r="50" spans="1:10" ht="22.5" x14ac:dyDescent="0.55000000000000004">
      <c r="A50" s="29"/>
      <c r="B50" s="29"/>
      <c r="C50" s="29"/>
      <c r="D50" s="281"/>
      <c r="E50" s="281"/>
      <c r="F50" s="281"/>
      <c r="G50" s="281"/>
      <c r="H50" s="281"/>
      <c r="I50" s="281"/>
      <c r="J50" s="281"/>
    </row>
    <row r="51" spans="1:10" ht="22.5" customHeight="1" x14ac:dyDescent="0.55000000000000004">
      <c r="A51" s="30"/>
      <c r="B51" s="30"/>
      <c r="C51" s="30" t="s">
        <v>49</v>
      </c>
      <c r="D51" s="281" t="s">
        <v>124</v>
      </c>
      <c r="E51" s="281"/>
      <c r="F51" s="281"/>
      <c r="G51" s="281"/>
      <c r="H51" s="281"/>
      <c r="I51" s="281"/>
      <c r="J51" s="281"/>
    </row>
    <row r="52" spans="1:10" ht="22.5" customHeight="1" x14ac:dyDescent="0.55000000000000004">
      <c r="A52" s="30"/>
      <c r="B52" s="30"/>
      <c r="C52" s="30"/>
      <c r="D52" s="281"/>
      <c r="E52" s="281"/>
      <c r="F52" s="281"/>
      <c r="G52" s="281"/>
      <c r="H52" s="281"/>
      <c r="I52" s="281"/>
      <c r="J52" s="281"/>
    </row>
    <row r="53" spans="1:10" ht="22.5" x14ac:dyDescent="0.55000000000000004">
      <c r="A53" s="30"/>
      <c r="B53" s="30"/>
      <c r="C53" s="30"/>
      <c r="D53" s="281"/>
      <c r="E53" s="281"/>
      <c r="F53" s="281"/>
      <c r="G53" s="281"/>
      <c r="H53" s="281"/>
      <c r="I53" s="281"/>
      <c r="J53" s="281"/>
    </row>
    <row r="54" spans="1:10" ht="24" customHeight="1" x14ac:dyDescent="0.55000000000000004">
      <c r="A54" s="29"/>
      <c r="B54" s="29"/>
      <c r="C54" s="29"/>
      <c r="D54" s="35" t="s">
        <v>84</v>
      </c>
      <c r="E54" s="27"/>
      <c r="F54" s="291" t="s">
        <v>85</v>
      </c>
      <c r="G54" s="291"/>
      <c r="H54" s="291"/>
      <c r="I54" s="27"/>
      <c r="J54" s="35" t="s">
        <v>86</v>
      </c>
    </row>
    <row r="55" spans="1:10" ht="24" customHeight="1" x14ac:dyDescent="0.55000000000000004">
      <c r="A55" s="29"/>
      <c r="B55" s="29"/>
      <c r="C55" s="29"/>
      <c r="D55" s="27" t="s">
        <v>87</v>
      </c>
      <c r="E55" s="31"/>
      <c r="F55" s="282" t="s">
        <v>358</v>
      </c>
      <c r="G55" s="282"/>
      <c r="H55" s="282"/>
      <c r="I55" s="32"/>
      <c r="J55" s="262" t="s">
        <v>359</v>
      </c>
    </row>
    <row r="56" spans="1:10" ht="24" customHeight="1" x14ac:dyDescent="0.55000000000000004">
      <c r="A56" s="29"/>
      <c r="B56" s="29"/>
      <c r="C56" s="29"/>
      <c r="D56" s="27" t="s">
        <v>235</v>
      </c>
      <c r="E56" s="31"/>
      <c r="F56" s="282" t="s">
        <v>360</v>
      </c>
      <c r="G56" s="282"/>
      <c r="H56" s="282"/>
      <c r="I56" s="32"/>
      <c r="J56" s="262" t="s">
        <v>361</v>
      </c>
    </row>
    <row r="57" spans="1:10" ht="24" customHeight="1" x14ac:dyDescent="0.55000000000000004">
      <c r="A57" s="30"/>
      <c r="B57" s="30"/>
      <c r="C57" s="30"/>
      <c r="D57" s="27" t="s">
        <v>32</v>
      </c>
      <c r="E57" s="31"/>
      <c r="F57" s="282" t="s">
        <v>138</v>
      </c>
      <c r="G57" s="282"/>
      <c r="H57" s="282"/>
      <c r="I57" s="32"/>
      <c r="J57" s="262" t="s">
        <v>359</v>
      </c>
    </row>
    <row r="58" spans="1:10" ht="24" customHeight="1" x14ac:dyDescent="0.55000000000000004">
      <c r="A58" s="30"/>
      <c r="B58" s="30"/>
      <c r="C58" s="30"/>
      <c r="D58" s="27" t="s">
        <v>14</v>
      </c>
      <c r="E58" s="31"/>
      <c r="F58" s="282" t="s">
        <v>362</v>
      </c>
      <c r="G58" s="282"/>
      <c r="H58" s="282"/>
      <c r="I58" s="262"/>
      <c r="J58" s="262" t="s">
        <v>361</v>
      </c>
    </row>
    <row r="59" spans="1:10" ht="24" customHeight="1" x14ac:dyDescent="0.55000000000000004">
      <c r="A59" s="30"/>
      <c r="B59" s="30"/>
      <c r="C59" s="30"/>
      <c r="D59" s="267" t="s">
        <v>285</v>
      </c>
      <c r="E59" s="31"/>
      <c r="F59" s="282" t="s">
        <v>368</v>
      </c>
      <c r="G59" s="282"/>
      <c r="H59" s="282"/>
      <c r="I59" s="267"/>
      <c r="J59" s="267" t="s">
        <v>359</v>
      </c>
    </row>
    <row r="60" spans="1:10" ht="22.5" x14ac:dyDescent="0.55000000000000004">
      <c r="A60" s="30"/>
      <c r="B60" s="30"/>
      <c r="C60" s="30"/>
      <c r="D60" s="293" t="s">
        <v>125</v>
      </c>
      <c r="E60" s="293"/>
      <c r="F60" s="293"/>
      <c r="G60" s="293"/>
      <c r="H60" s="293"/>
      <c r="I60" s="293"/>
      <c r="J60" s="293"/>
    </row>
    <row r="61" spans="1:10" ht="22.5" x14ac:dyDescent="0.55000000000000004">
      <c r="A61" s="29"/>
      <c r="B61" s="29"/>
      <c r="C61" s="29"/>
      <c r="D61" s="293"/>
      <c r="E61" s="293"/>
      <c r="F61" s="293"/>
      <c r="G61" s="293"/>
      <c r="H61" s="293"/>
      <c r="I61" s="293"/>
      <c r="J61" s="293"/>
    </row>
    <row r="62" spans="1:10" ht="22.5" x14ac:dyDescent="0.55000000000000004">
      <c r="A62" s="29"/>
      <c r="B62" s="29"/>
      <c r="C62" s="29"/>
      <c r="D62" s="293"/>
      <c r="E62" s="293"/>
      <c r="F62" s="293"/>
      <c r="G62" s="293"/>
      <c r="H62" s="293"/>
      <c r="I62" s="293"/>
      <c r="J62" s="293"/>
    </row>
    <row r="63" spans="1:10" ht="22.5" x14ac:dyDescent="0.55000000000000004">
      <c r="A63" s="29"/>
      <c r="B63" s="29"/>
      <c r="C63" s="29"/>
      <c r="D63" s="293"/>
      <c r="E63" s="293"/>
      <c r="F63" s="293"/>
      <c r="G63" s="293"/>
      <c r="H63" s="293"/>
      <c r="I63" s="293"/>
      <c r="J63" s="293"/>
    </row>
    <row r="64" spans="1:10" ht="22.5" x14ac:dyDescent="0.55000000000000004">
      <c r="A64" s="29"/>
      <c r="B64" s="29"/>
      <c r="C64" s="29"/>
      <c r="D64" s="293"/>
      <c r="E64" s="293"/>
      <c r="F64" s="293"/>
      <c r="G64" s="293"/>
      <c r="H64" s="293"/>
      <c r="I64" s="293"/>
      <c r="J64" s="293"/>
    </row>
    <row r="65" spans="1:11" ht="22.5" x14ac:dyDescent="0.55000000000000004">
      <c r="A65" s="29"/>
      <c r="B65" s="29"/>
      <c r="C65" s="29"/>
      <c r="D65" s="257"/>
      <c r="E65" s="257"/>
      <c r="F65" s="257"/>
      <c r="G65" s="257"/>
      <c r="H65" s="257"/>
      <c r="I65" s="257"/>
      <c r="J65" s="257"/>
    </row>
    <row r="66" spans="1:11" ht="22.5" x14ac:dyDescent="0.55000000000000004">
      <c r="A66" s="283">
        <v>6</v>
      </c>
      <c r="B66" s="283"/>
      <c r="C66" s="283"/>
      <c r="D66" s="283"/>
      <c r="E66" s="283"/>
      <c r="F66" s="283"/>
      <c r="G66" s="283"/>
      <c r="H66" s="283"/>
      <c r="I66" s="283"/>
      <c r="J66" s="283"/>
    </row>
    <row r="67" spans="1:11" ht="24" customHeight="1" x14ac:dyDescent="0.55000000000000004">
      <c r="A67" s="30"/>
      <c r="B67" s="30" t="s">
        <v>50</v>
      </c>
      <c r="C67" s="31" t="s">
        <v>81</v>
      </c>
      <c r="D67" s="31"/>
      <c r="E67" s="31"/>
      <c r="F67" s="31"/>
      <c r="G67" s="31"/>
      <c r="H67" s="31"/>
      <c r="I67" s="32"/>
      <c r="J67" s="29"/>
    </row>
    <row r="68" spans="1:11" ht="24" customHeight="1" x14ac:dyDescent="0.55000000000000004">
      <c r="A68" s="30"/>
      <c r="B68" s="30"/>
      <c r="C68" s="30"/>
      <c r="D68" s="293" t="s">
        <v>126</v>
      </c>
      <c r="E68" s="293"/>
      <c r="F68" s="293"/>
      <c r="G68" s="293"/>
      <c r="H68" s="293"/>
      <c r="I68" s="293"/>
      <c r="J68" s="293"/>
    </row>
    <row r="69" spans="1:11" ht="24" customHeight="1" x14ac:dyDescent="0.55000000000000004">
      <c r="A69" s="30"/>
      <c r="B69" s="30"/>
      <c r="C69" s="30"/>
      <c r="D69" s="293"/>
      <c r="E69" s="293"/>
      <c r="F69" s="293"/>
      <c r="G69" s="293"/>
      <c r="H69" s="293"/>
      <c r="I69" s="293"/>
      <c r="J69" s="293"/>
    </row>
    <row r="70" spans="1:11" ht="24" customHeight="1" x14ac:dyDescent="0.55000000000000004">
      <c r="A70" s="174"/>
      <c r="B70" s="174"/>
      <c r="C70" s="174"/>
      <c r="D70" s="174"/>
      <c r="E70" s="174"/>
      <c r="F70" s="174"/>
      <c r="G70" s="174"/>
      <c r="H70" s="174"/>
      <c r="I70" s="174"/>
      <c r="J70" s="174"/>
    </row>
    <row r="71" spans="1:11" ht="24" customHeight="1" x14ac:dyDescent="0.55000000000000004">
      <c r="A71" s="30"/>
      <c r="B71" s="30" t="s">
        <v>79</v>
      </c>
      <c r="C71" s="31" t="s">
        <v>2</v>
      </c>
      <c r="D71" s="31"/>
      <c r="E71" s="31"/>
      <c r="F71" s="31"/>
      <c r="G71" s="31"/>
      <c r="H71" s="31"/>
      <c r="I71" s="32"/>
      <c r="J71" s="29"/>
    </row>
    <row r="72" spans="1:11" ht="31.5" customHeight="1" x14ac:dyDescent="0.55000000000000004">
      <c r="A72" s="30"/>
      <c r="B72" s="30"/>
      <c r="C72" s="30"/>
      <c r="D72" s="293" t="s">
        <v>272</v>
      </c>
      <c r="E72" s="293"/>
      <c r="F72" s="293"/>
      <c r="G72" s="293"/>
      <c r="H72" s="293"/>
      <c r="I72" s="293"/>
      <c r="J72" s="293"/>
    </row>
    <row r="73" spans="1:11" ht="31.5" customHeight="1" x14ac:dyDescent="0.55000000000000004">
      <c r="A73" s="30"/>
      <c r="B73" s="30"/>
      <c r="C73" s="30"/>
      <c r="D73" s="293"/>
      <c r="E73" s="293"/>
      <c r="F73" s="293"/>
      <c r="G73" s="293"/>
      <c r="H73" s="293"/>
      <c r="I73" s="293"/>
      <c r="J73" s="293"/>
    </row>
    <row r="74" spans="1:11" ht="31.5" customHeight="1" x14ac:dyDescent="0.55000000000000004">
      <c r="A74" s="29"/>
      <c r="B74" s="29"/>
      <c r="C74" s="29"/>
      <c r="D74" s="293"/>
      <c r="E74" s="293"/>
      <c r="F74" s="293"/>
      <c r="G74" s="293"/>
      <c r="H74" s="293"/>
      <c r="I74" s="293"/>
      <c r="J74" s="293"/>
    </row>
    <row r="75" spans="1:11" ht="24" customHeight="1" x14ac:dyDescent="0.2">
      <c r="A75" s="9"/>
      <c r="B75" s="9"/>
      <c r="C75" s="9"/>
      <c r="D75" s="11"/>
      <c r="E75" s="11"/>
      <c r="F75" s="11"/>
      <c r="G75" s="11"/>
      <c r="H75" s="11"/>
      <c r="I75" s="11"/>
      <c r="J75" s="11"/>
    </row>
    <row r="76" spans="1:11" ht="20.100000000000001" customHeight="1" x14ac:dyDescent="0.55000000000000004">
      <c r="A76" s="10"/>
      <c r="B76" s="30" t="s">
        <v>236</v>
      </c>
      <c r="C76" s="31" t="s">
        <v>212</v>
      </c>
      <c r="D76" s="10"/>
      <c r="E76" s="10"/>
      <c r="F76" s="10"/>
      <c r="G76" s="10"/>
      <c r="H76" s="10"/>
      <c r="I76" s="10"/>
      <c r="J76" s="10"/>
    </row>
    <row r="77" spans="1:11" ht="24.95" customHeight="1" x14ac:dyDescent="0.55000000000000004">
      <c r="D77" s="284" t="s">
        <v>213</v>
      </c>
      <c r="E77" s="284"/>
      <c r="F77" s="284"/>
      <c r="G77" s="284"/>
      <c r="H77" s="284"/>
      <c r="I77" s="284"/>
      <c r="J77" s="284"/>
      <c r="K77" s="181"/>
    </row>
    <row r="78" spans="1:11" ht="24.95" customHeight="1" x14ac:dyDescent="0.55000000000000004">
      <c r="D78" s="284"/>
      <c r="E78" s="284"/>
      <c r="F78" s="284"/>
      <c r="G78" s="284"/>
      <c r="H78" s="284"/>
      <c r="I78" s="284"/>
      <c r="J78" s="284"/>
      <c r="K78" s="181"/>
    </row>
    <row r="79" spans="1:11" ht="24.95" customHeight="1" x14ac:dyDescent="0.2"/>
    <row r="80" spans="1:11" ht="24.95" customHeight="1" x14ac:dyDescent="0.2"/>
    <row r="81" spans="1:10" ht="24.95" customHeight="1" x14ac:dyDescent="0.2"/>
    <row r="82" spans="1:10" ht="24.95" customHeight="1" x14ac:dyDescent="0.2"/>
    <row r="83" spans="1:10" ht="24.95" customHeight="1" x14ac:dyDescent="0.2"/>
    <row r="84" spans="1:10" ht="24.95" customHeight="1" x14ac:dyDescent="0.2"/>
    <row r="85" spans="1:10" ht="24.95" customHeight="1" x14ac:dyDescent="0.2"/>
    <row r="86" spans="1:10" ht="24.95" customHeight="1" x14ac:dyDescent="0.2"/>
    <row r="87" spans="1:10" ht="24.95" customHeight="1" x14ac:dyDescent="0.2"/>
    <row r="88" spans="1:10" ht="24.95" customHeight="1" x14ac:dyDescent="0.2"/>
    <row r="89" spans="1:10" ht="24.95" customHeight="1" x14ac:dyDescent="0.2"/>
    <row r="90" spans="1:10" ht="24.95" customHeight="1" x14ac:dyDescent="0.2"/>
    <row r="91" spans="1:10" ht="24.95" customHeight="1" x14ac:dyDescent="0.2"/>
    <row r="92" spans="1:10" ht="24.95" customHeight="1" x14ac:dyDescent="0.2"/>
    <row r="93" spans="1:10" ht="24.95" customHeight="1" x14ac:dyDescent="0.2"/>
    <row r="94" spans="1:10" ht="24.95" customHeight="1" x14ac:dyDescent="0.2"/>
    <row r="95" spans="1:10" ht="24.95" customHeight="1" x14ac:dyDescent="0.2">
      <c r="A95" s="292">
        <v>7</v>
      </c>
      <c r="B95" s="292"/>
      <c r="C95" s="292"/>
      <c r="D95" s="292"/>
      <c r="E95" s="292"/>
      <c r="F95" s="292"/>
      <c r="G95" s="292"/>
      <c r="H95" s="292"/>
      <c r="I95" s="292"/>
      <c r="J95" s="292"/>
    </row>
    <row r="96" spans="1:10"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sheetData>
  <customSheetViews>
    <customSheetView guid="{77FE9A31-615C-11D9-8076-000F3DEC765A}" showRuler="0">
      <selection activeCell="B6" sqref="B6"/>
      <pageMargins left="0.35433070866141736" right="0.74803149606299213" top="0" bottom="0" header="0.51181102362204722" footer="0.51181102362204722"/>
      <pageSetup paperSize="9" orientation="portrait" r:id="rId1"/>
      <headerFooter alignWithMargins="0"/>
    </customSheetView>
    <customSheetView guid="{8BABEDE0-61D1-11D9-A0C2-0080AD86BB50}" showRuler="0">
      <selection activeCell="B6" sqref="B6"/>
      <pageMargins left="0.35433070866141736" right="0.74803149606299213" top="0" bottom="0" header="0.51181102362204722" footer="0.51181102362204722"/>
      <pageSetup paperSize="9" orientation="portrait" r:id="rId2"/>
      <headerFooter alignWithMargins="0"/>
    </customSheetView>
  </customSheetViews>
  <mergeCells count="27">
    <mergeCell ref="D77:J78"/>
    <mergeCell ref="A95:J95"/>
    <mergeCell ref="D51:J53"/>
    <mergeCell ref="D72:J74"/>
    <mergeCell ref="D60:J64"/>
    <mergeCell ref="D68:J69"/>
    <mergeCell ref="F55:H55"/>
    <mergeCell ref="F56:H56"/>
    <mergeCell ref="F58:H58"/>
    <mergeCell ref="A66:J66"/>
    <mergeCell ref="F57:H57"/>
    <mergeCell ref="F54:H54"/>
    <mergeCell ref="F59:H59"/>
    <mergeCell ref="D44:J50"/>
    <mergeCell ref="G42:J42"/>
    <mergeCell ref="A34:J34"/>
    <mergeCell ref="D3:J7"/>
    <mergeCell ref="D9:J15"/>
    <mergeCell ref="D37:J39"/>
    <mergeCell ref="G41:J41"/>
    <mergeCell ref="H23:I23"/>
    <mergeCell ref="H20:I20"/>
    <mergeCell ref="H19:I19"/>
    <mergeCell ref="H21:I21"/>
    <mergeCell ref="H22:I22"/>
    <mergeCell ref="C26:J27"/>
    <mergeCell ref="G40:J40"/>
  </mergeCells>
  <phoneticPr fontId="0" type="noConversion"/>
  <printOptions horizontalCentered="1"/>
  <pageMargins left="0.59055118110236227" right="0.59055118110236227" top="1.3779527559055118" bottom="0.39370078740157483" header="0.39370078740157483" footer="0.51181102362204722"/>
  <pageSetup paperSize="9" firstPageNumber="5" fitToHeight="3" orientation="portrait" useFirstPageNumber="1" r:id="rId3"/>
  <headerFooter alignWithMargins="0">
    <oddHeader>&amp;C&amp;"B Mitra,Bold"&amp;14&amp;Uشرکت شهاب صنعت ایساتیس (سهامی خاص)
یادداشتهای توضیحی صورتهای مالی
سال مالی منتهی به 29 اسفند ماه 1389</oddHeader>
  </headerFooter>
  <rowBreaks count="2" manualBreakCount="2">
    <brk id="34"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rightToLeft="1" view="pageBreakPreview" topLeftCell="A55" zoomScale="94" zoomScaleSheetLayoutView="94" workbookViewId="0">
      <selection activeCell="E10" sqref="E10"/>
    </sheetView>
  </sheetViews>
  <sheetFormatPr defaultRowHeight="18" x14ac:dyDescent="0.2"/>
  <cols>
    <col min="1" max="1" width="5.5703125" style="154" bestFit="1" customWidth="1"/>
    <col min="2" max="2" width="23" style="154" customWidth="1"/>
    <col min="3" max="3" width="13.140625" style="154" customWidth="1"/>
    <col min="4" max="4" width="8.7109375" style="154" bestFit="1" customWidth="1"/>
    <col min="5" max="5" width="4.85546875" style="154" customWidth="1"/>
    <col min="6" max="6" width="17.28515625" style="154" customWidth="1"/>
    <col min="7" max="7" width="12.5703125" style="154" hidden="1" customWidth="1"/>
    <col min="8" max="8" width="1.42578125" style="154" customWidth="1"/>
    <col min="9" max="9" width="16.28515625" style="154" customWidth="1"/>
    <col min="10" max="10" width="12.5703125" style="154" hidden="1" customWidth="1"/>
    <col min="11" max="11" width="5.85546875" style="250" customWidth="1"/>
    <col min="12" max="16384" width="9.140625" style="250"/>
  </cols>
  <sheetData>
    <row r="1" spans="1:10" ht="22.5" x14ac:dyDescent="0.2">
      <c r="A1" s="61" t="s">
        <v>202</v>
      </c>
      <c r="B1" s="244" t="s">
        <v>201</v>
      </c>
    </row>
    <row r="2" spans="1:10" ht="22.5" x14ac:dyDescent="0.55000000000000004">
      <c r="D2" s="224" t="s">
        <v>25</v>
      </c>
      <c r="F2" s="151">
        <v>1389</v>
      </c>
      <c r="G2" s="151">
        <v>1389</v>
      </c>
      <c r="H2" s="248"/>
      <c r="I2" s="146">
        <v>1388</v>
      </c>
      <c r="J2" s="146">
        <v>1388</v>
      </c>
    </row>
    <row r="3" spans="1:10" ht="22.5" x14ac:dyDescent="0.2">
      <c r="F3" s="147" t="s">
        <v>132</v>
      </c>
      <c r="G3" s="147" t="s">
        <v>120</v>
      </c>
      <c r="H3" s="52"/>
      <c r="I3" s="147" t="s">
        <v>132</v>
      </c>
      <c r="J3" s="147" t="s">
        <v>120</v>
      </c>
    </row>
    <row r="4" spans="1:10" ht="22.5" x14ac:dyDescent="0.55000000000000004">
      <c r="B4" s="251" t="s">
        <v>277</v>
      </c>
      <c r="F4" s="50">
        <v>57</v>
      </c>
      <c r="G4" s="52"/>
      <c r="H4" s="52"/>
      <c r="I4" s="50">
        <v>45</v>
      </c>
      <c r="J4" s="52"/>
    </row>
    <row r="5" spans="1:10" ht="22.5" x14ac:dyDescent="0.55000000000000004">
      <c r="A5" s="36"/>
      <c r="B5" s="251" t="s">
        <v>119</v>
      </c>
      <c r="C5" s="251"/>
      <c r="D5" s="245" t="s">
        <v>238</v>
      </c>
      <c r="E5" s="251"/>
      <c r="F5" s="148">
        <v>528</v>
      </c>
      <c r="G5" s="148"/>
      <c r="H5" s="148"/>
      <c r="I5" s="148">
        <v>167</v>
      </c>
      <c r="J5" s="148">
        <v>679884012</v>
      </c>
    </row>
    <row r="6" spans="1:10" ht="22.5" x14ac:dyDescent="0.55000000000000004">
      <c r="A6" s="36"/>
      <c r="B6" s="251" t="s">
        <v>237</v>
      </c>
      <c r="C6" s="251"/>
      <c r="D6" s="36"/>
      <c r="E6" s="251"/>
      <c r="F6" s="148">
        <v>45</v>
      </c>
      <c r="G6" s="148"/>
      <c r="H6" s="148"/>
      <c r="I6" s="148">
        <v>30</v>
      </c>
      <c r="J6" s="148"/>
    </row>
    <row r="7" spans="1:10" ht="23.25" thickBot="1" x14ac:dyDescent="0.6">
      <c r="A7" s="36"/>
      <c r="B7" s="251"/>
      <c r="C7" s="252"/>
      <c r="D7" s="36"/>
      <c r="E7" s="252"/>
      <c r="F7" s="149">
        <f>SUM(F4:F6)</f>
        <v>630</v>
      </c>
      <c r="G7" s="149">
        <f>SUM(G5:G5)</f>
        <v>0</v>
      </c>
      <c r="H7" s="150"/>
      <c r="I7" s="149">
        <f>SUM(I4:I6)</f>
        <v>242</v>
      </c>
      <c r="J7" s="149">
        <f>SUM(J5:J5)</f>
        <v>679884012</v>
      </c>
    </row>
    <row r="8" spans="1:10" ht="23.25" thickTop="1" x14ac:dyDescent="0.55000000000000004">
      <c r="A8" s="36"/>
      <c r="B8" s="251"/>
      <c r="C8" s="252"/>
      <c r="D8" s="36"/>
      <c r="E8" s="252"/>
      <c r="F8" s="150"/>
      <c r="G8" s="150"/>
      <c r="H8" s="150"/>
      <c r="I8" s="150"/>
      <c r="J8" s="150"/>
    </row>
    <row r="9" spans="1:10" ht="23.25" customHeight="1" x14ac:dyDescent="0.55000000000000004">
      <c r="A9" s="36"/>
      <c r="B9" s="251" t="s">
        <v>384</v>
      </c>
      <c r="C9" s="252"/>
      <c r="D9" s="36"/>
      <c r="E9" s="252"/>
      <c r="F9" s="150"/>
      <c r="G9" s="150"/>
      <c r="H9" s="150"/>
      <c r="I9" s="150"/>
      <c r="J9" s="150"/>
    </row>
    <row r="10" spans="1:10" ht="23.25" customHeight="1" x14ac:dyDescent="0.55000000000000004">
      <c r="A10" s="36"/>
      <c r="B10" s="251"/>
      <c r="C10" s="252"/>
      <c r="D10" s="36"/>
      <c r="E10" s="252"/>
      <c r="F10" s="150"/>
      <c r="G10" s="150"/>
      <c r="H10" s="150"/>
      <c r="I10" s="150"/>
      <c r="J10" s="150"/>
    </row>
    <row r="11" spans="1:10" ht="23.25" customHeight="1" x14ac:dyDescent="0.55000000000000004">
      <c r="A11" s="36"/>
      <c r="B11" s="251"/>
      <c r="C11" s="252"/>
      <c r="D11" s="36"/>
      <c r="E11" s="252"/>
      <c r="F11" s="150"/>
      <c r="G11" s="150"/>
      <c r="H11" s="150"/>
      <c r="I11" s="150"/>
      <c r="J11" s="150"/>
    </row>
    <row r="12" spans="1:10" ht="23.25" customHeight="1" x14ac:dyDescent="0.55000000000000004">
      <c r="A12" s="36"/>
      <c r="B12" s="251"/>
      <c r="C12" s="252"/>
      <c r="D12" s="36"/>
      <c r="E12" s="252"/>
      <c r="F12" s="150"/>
      <c r="G12" s="150"/>
      <c r="H12" s="150"/>
      <c r="I12" s="150"/>
      <c r="J12" s="150"/>
    </row>
    <row r="13" spans="1:10" ht="23.25" customHeight="1" x14ac:dyDescent="0.55000000000000004">
      <c r="A13" s="36"/>
      <c r="B13" s="251"/>
      <c r="C13" s="252"/>
      <c r="D13" s="36"/>
      <c r="E13" s="252"/>
      <c r="F13" s="150"/>
      <c r="G13" s="150"/>
      <c r="H13" s="150"/>
      <c r="I13" s="150"/>
      <c r="J13" s="150"/>
    </row>
    <row r="14" spans="1:10" ht="23.25" customHeight="1" x14ac:dyDescent="0.55000000000000004">
      <c r="A14" s="36"/>
      <c r="B14" s="251"/>
      <c r="C14" s="252"/>
      <c r="D14" s="36"/>
      <c r="E14" s="252"/>
      <c r="F14" s="150"/>
      <c r="G14" s="150"/>
      <c r="H14" s="150"/>
      <c r="I14" s="150"/>
      <c r="J14" s="150"/>
    </row>
    <row r="15" spans="1:10" ht="23.25" customHeight="1" x14ac:dyDescent="0.55000000000000004">
      <c r="A15" s="36"/>
      <c r="B15" s="251"/>
      <c r="C15" s="252"/>
      <c r="D15" s="36"/>
      <c r="E15" s="252"/>
      <c r="F15" s="150"/>
      <c r="G15" s="150"/>
      <c r="H15" s="150"/>
      <c r="I15" s="150"/>
      <c r="J15" s="150"/>
    </row>
    <row r="16" spans="1:10" ht="23.25" customHeight="1" x14ac:dyDescent="0.55000000000000004">
      <c r="A16" s="36"/>
      <c r="B16" s="251"/>
      <c r="C16" s="252"/>
      <c r="D16" s="36"/>
      <c r="E16" s="252"/>
      <c r="F16" s="150"/>
      <c r="G16" s="150"/>
      <c r="H16" s="150"/>
      <c r="I16" s="150"/>
      <c r="J16" s="150"/>
    </row>
    <row r="17" spans="1:10" ht="23.25" customHeight="1" x14ac:dyDescent="0.55000000000000004">
      <c r="A17" s="36"/>
      <c r="B17" s="251"/>
      <c r="C17" s="252"/>
      <c r="D17" s="36"/>
      <c r="E17" s="252"/>
      <c r="F17" s="150"/>
      <c r="G17" s="150"/>
      <c r="H17" s="150"/>
      <c r="I17" s="150"/>
      <c r="J17" s="150"/>
    </row>
    <row r="18" spans="1:10" ht="23.25" customHeight="1" x14ac:dyDescent="0.55000000000000004">
      <c r="A18" s="36"/>
      <c r="B18" s="251"/>
      <c r="C18" s="252"/>
      <c r="D18" s="36"/>
      <c r="E18" s="252"/>
      <c r="F18" s="150"/>
      <c r="G18" s="150"/>
      <c r="H18" s="150"/>
      <c r="I18" s="150"/>
      <c r="J18" s="150"/>
    </row>
    <row r="19" spans="1:10" ht="23.25" customHeight="1" x14ac:dyDescent="0.55000000000000004">
      <c r="A19" s="36"/>
      <c r="B19" s="251"/>
      <c r="C19" s="252"/>
      <c r="D19" s="36"/>
      <c r="E19" s="252"/>
      <c r="F19" s="150"/>
      <c r="G19" s="150"/>
      <c r="H19" s="150"/>
      <c r="I19" s="150"/>
      <c r="J19" s="150"/>
    </row>
    <row r="20" spans="1:10" ht="23.25" customHeight="1" x14ac:dyDescent="0.55000000000000004">
      <c r="A20" s="36"/>
      <c r="B20" s="251"/>
      <c r="C20" s="252"/>
      <c r="D20" s="36"/>
      <c r="E20" s="252"/>
      <c r="F20" s="150"/>
      <c r="G20" s="150"/>
      <c r="H20" s="150"/>
      <c r="I20" s="150"/>
      <c r="J20" s="150"/>
    </row>
    <row r="21" spans="1:10" ht="23.25" customHeight="1" x14ac:dyDescent="0.55000000000000004">
      <c r="A21" s="36"/>
      <c r="B21" s="251"/>
      <c r="C21" s="252"/>
      <c r="D21" s="36"/>
      <c r="E21" s="252"/>
      <c r="F21" s="150"/>
      <c r="G21" s="150"/>
      <c r="H21" s="150"/>
      <c r="I21" s="150"/>
      <c r="J21" s="150"/>
    </row>
    <row r="22" spans="1:10" ht="23.25" customHeight="1" x14ac:dyDescent="0.55000000000000004">
      <c r="A22" s="36"/>
      <c r="B22" s="251"/>
      <c r="C22" s="252"/>
      <c r="D22" s="36"/>
      <c r="E22" s="252"/>
      <c r="F22" s="150"/>
      <c r="G22" s="150"/>
      <c r="H22" s="150"/>
      <c r="I22" s="150"/>
      <c r="J22" s="150"/>
    </row>
    <row r="23" spans="1:10" ht="23.25" customHeight="1" x14ac:dyDescent="0.55000000000000004">
      <c r="A23" s="36"/>
      <c r="B23" s="251"/>
      <c r="C23" s="252"/>
      <c r="D23" s="36"/>
      <c r="E23" s="252"/>
      <c r="F23" s="150"/>
      <c r="G23" s="150"/>
      <c r="H23" s="150"/>
      <c r="I23" s="150"/>
      <c r="J23" s="150"/>
    </row>
    <row r="24" spans="1:10" ht="23.25" customHeight="1" x14ac:dyDescent="0.55000000000000004">
      <c r="A24" s="36"/>
      <c r="B24" s="251"/>
      <c r="C24" s="252"/>
      <c r="D24" s="36"/>
      <c r="E24" s="252"/>
      <c r="F24" s="150"/>
      <c r="G24" s="150"/>
      <c r="H24" s="150"/>
      <c r="I24" s="150"/>
      <c r="J24" s="150"/>
    </row>
    <row r="25" spans="1:10" ht="23.25" customHeight="1" x14ac:dyDescent="0.55000000000000004">
      <c r="A25" s="36"/>
      <c r="B25" s="251"/>
      <c r="C25" s="252"/>
      <c r="D25" s="36"/>
      <c r="E25" s="252"/>
      <c r="F25" s="150"/>
      <c r="G25" s="150"/>
      <c r="H25" s="150"/>
      <c r="I25" s="150"/>
      <c r="J25" s="150"/>
    </row>
    <row r="26" spans="1:10" ht="23.25" customHeight="1" x14ac:dyDescent="0.55000000000000004">
      <c r="A26" s="36"/>
      <c r="B26" s="251"/>
      <c r="C26" s="252"/>
      <c r="D26" s="36"/>
      <c r="E26" s="252"/>
      <c r="F26" s="150"/>
      <c r="G26" s="150"/>
      <c r="H26" s="150"/>
      <c r="I26" s="150"/>
      <c r="J26" s="150"/>
    </row>
    <row r="27" spans="1:10" ht="23.25" customHeight="1" x14ac:dyDescent="0.55000000000000004">
      <c r="A27" s="36"/>
      <c r="B27" s="251"/>
      <c r="C27" s="252"/>
      <c r="D27" s="36"/>
      <c r="E27" s="252"/>
      <c r="F27" s="150"/>
      <c r="G27" s="150"/>
      <c r="H27" s="150"/>
      <c r="I27" s="150"/>
      <c r="J27" s="150"/>
    </row>
    <row r="28" spans="1:10" ht="23.25" customHeight="1" x14ac:dyDescent="0.55000000000000004">
      <c r="A28" s="36"/>
      <c r="B28" s="251"/>
      <c r="C28" s="252"/>
      <c r="D28" s="36"/>
      <c r="E28" s="252"/>
      <c r="F28" s="150"/>
      <c r="G28" s="150"/>
      <c r="H28" s="150"/>
      <c r="I28" s="150"/>
      <c r="J28" s="150"/>
    </row>
    <row r="29" spans="1:10" ht="23.25" customHeight="1" x14ac:dyDescent="0.55000000000000004">
      <c r="A29" s="36"/>
      <c r="B29" s="251"/>
      <c r="C29" s="252"/>
      <c r="D29" s="36"/>
      <c r="E29" s="252"/>
      <c r="F29" s="150"/>
      <c r="G29" s="150"/>
      <c r="H29" s="150"/>
      <c r="I29" s="150"/>
      <c r="J29" s="150"/>
    </row>
    <row r="30" spans="1:10" ht="23.25" customHeight="1" x14ac:dyDescent="0.55000000000000004">
      <c r="A30" s="36"/>
      <c r="B30" s="251"/>
      <c r="C30" s="252"/>
      <c r="D30" s="36"/>
      <c r="E30" s="252"/>
      <c r="F30" s="150"/>
      <c r="G30" s="150"/>
      <c r="H30" s="150"/>
      <c r="I30" s="150"/>
      <c r="J30" s="150"/>
    </row>
    <row r="31" spans="1:10" ht="23.25" customHeight="1" x14ac:dyDescent="0.55000000000000004">
      <c r="A31" s="36"/>
      <c r="B31" s="251"/>
      <c r="C31" s="252"/>
      <c r="D31" s="36"/>
      <c r="E31" s="252"/>
      <c r="F31" s="150"/>
      <c r="G31" s="150"/>
      <c r="H31" s="150"/>
      <c r="I31" s="150"/>
      <c r="J31" s="150"/>
    </row>
    <row r="32" spans="1:10" ht="23.25" customHeight="1" x14ac:dyDescent="0.55000000000000004">
      <c r="A32" s="36"/>
      <c r="B32" s="251"/>
      <c r="C32" s="252"/>
      <c r="D32" s="36"/>
      <c r="E32" s="252"/>
      <c r="F32" s="150"/>
      <c r="G32" s="150"/>
      <c r="H32" s="150"/>
      <c r="I32" s="150"/>
      <c r="J32" s="150"/>
    </row>
    <row r="33" spans="1:10" ht="22.5" x14ac:dyDescent="0.55000000000000004">
      <c r="A33" s="294">
        <v>8</v>
      </c>
      <c r="B33" s="294"/>
      <c r="C33" s="294"/>
      <c r="D33" s="294"/>
      <c r="E33" s="294"/>
      <c r="F33" s="294"/>
      <c r="G33" s="294"/>
      <c r="H33" s="294"/>
      <c r="I33" s="294"/>
      <c r="J33" s="150"/>
    </row>
    <row r="34" spans="1:10" ht="22.5" x14ac:dyDescent="0.2">
      <c r="A34" s="61" t="s">
        <v>54</v>
      </c>
      <c r="B34" s="244" t="s">
        <v>159</v>
      </c>
      <c r="C34" s="244"/>
      <c r="D34" s="36"/>
      <c r="E34" s="36"/>
      <c r="F34" s="36"/>
      <c r="G34" s="36"/>
      <c r="H34" s="39"/>
      <c r="I34" s="39"/>
      <c r="J34" s="36"/>
    </row>
    <row r="35" spans="1:10" s="154" customFormat="1" ht="18" customHeight="1" x14ac:dyDescent="0.55000000000000004">
      <c r="A35" s="36"/>
      <c r="B35" s="37"/>
      <c r="C35" s="37"/>
      <c r="D35" s="224" t="s">
        <v>25</v>
      </c>
      <c r="E35" s="36"/>
      <c r="F35" s="151">
        <v>1389</v>
      </c>
      <c r="G35" s="151">
        <v>1389</v>
      </c>
      <c r="H35" s="248"/>
      <c r="I35" s="146">
        <v>1388</v>
      </c>
      <c r="J35" s="146">
        <v>1388</v>
      </c>
    </row>
    <row r="36" spans="1:10" s="154" customFormat="1" ht="18.75" customHeight="1" x14ac:dyDescent="0.55000000000000004">
      <c r="A36" s="36"/>
      <c r="B36" s="37"/>
      <c r="C36" s="37"/>
      <c r="D36" s="39"/>
      <c r="E36" s="36"/>
      <c r="F36" s="253" t="s">
        <v>132</v>
      </c>
      <c r="G36" s="253" t="s">
        <v>120</v>
      </c>
      <c r="H36" s="152"/>
      <c r="I36" s="253" t="s">
        <v>132</v>
      </c>
      <c r="J36" s="147" t="s">
        <v>120</v>
      </c>
    </row>
    <row r="37" spans="1:10" s="154" customFormat="1" ht="17.25" customHeight="1" x14ac:dyDescent="0.2">
      <c r="A37" s="226"/>
      <c r="B37" s="37" t="s">
        <v>44</v>
      </c>
      <c r="C37" s="37"/>
      <c r="D37" s="245" t="s">
        <v>278</v>
      </c>
      <c r="E37" s="39"/>
      <c r="F37" s="124">
        <f>10739+1342</f>
        <v>12081</v>
      </c>
      <c r="G37" s="124"/>
      <c r="H37" s="38"/>
      <c r="I37" s="124">
        <f>14698+713</f>
        <v>15411</v>
      </c>
      <c r="J37" s="124">
        <v>46155500</v>
      </c>
    </row>
    <row r="38" spans="1:10" s="154" customFormat="1" ht="17.25" customHeight="1" x14ac:dyDescent="0.2">
      <c r="A38" s="226"/>
      <c r="B38" s="37" t="s">
        <v>403</v>
      </c>
      <c r="C38" s="37"/>
      <c r="D38" s="245"/>
      <c r="E38" s="39"/>
      <c r="F38" s="124">
        <v>2774</v>
      </c>
      <c r="G38" s="124"/>
      <c r="H38" s="38"/>
      <c r="I38" s="204">
        <v>0</v>
      </c>
      <c r="J38" s="124"/>
    </row>
    <row r="39" spans="1:10" s="154" customFormat="1" ht="17.25" customHeight="1" x14ac:dyDescent="0.2">
      <c r="A39" s="226"/>
      <c r="B39" s="37" t="s">
        <v>404</v>
      </c>
      <c r="C39" s="37"/>
      <c r="D39" s="245"/>
      <c r="E39" s="39"/>
      <c r="F39" s="124">
        <v>2464</v>
      </c>
      <c r="G39" s="124"/>
      <c r="H39" s="38"/>
      <c r="I39" s="124">
        <v>2464</v>
      </c>
      <c r="J39" s="124"/>
    </row>
    <row r="40" spans="1:10" s="154" customFormat="1" ht="17.25" customHeight="1" x14ac:dyDescent="0.2">
      <c r="A40" s="226"/>
      <c r="B40" s="37" t="s">
        <v>405</v>
      </c>
      <c r="C40" s="37"/>
      <c r="D40" s="245"/>
      <c r="E40" s="39"/>
      <c r="F40" s="124">
        <v>1235</v>
      </c>
      <c r="G40" s="124"/>
      <c r="H40" s="38"/>
      <c r="I40" s="124">
        <v>794</v>
      </c>
      <c r="J40" s="124"/>
    </row>
    <row r="41" spans="1:10" s="154" customFormat="1" ht="17.25" customHeight="1" x14ac:dyDescent="0.2">
      <c r="A41" s="226"/>
      <c r="B41" s="37" t="s">
        <v>406</v>
      </c>
      <c r="C41" s="37"/>
      <c r="D41" s="245"/>
      <c r="E41" s="39"/>
      <c r="F41" s="124">
        <v>1140</v>
      </c>
      <c r="G41" s="124"/>
      <c r="H41" s="38"/>
      <c r="I41" s="204">
        <v>0</v>
      </c>
      <c r="J41" s="124"/>
    </row>
    <row r="42" spans="1:10" s="154" customFormat="1" ht="17.25" customHeight="1" x14ac:dyDescent="0.2">
      <c r="A42" s="226"/>
      <c r="B42" s="37" t="s">
        <v>407</v>
      </c>
      <c r="C42" s="37"/>
      <c r="D42" s="245"/>
      <c r="E42" s="39"/>
      <c r="F42" s="124">
        <v>1098</v>
      </c>
      <c r="G42" s="124"/>
      <c r="H42" s="38"/>
      <c r="I42" s="204">
        <v>0</v>
      </c>
      <c r="J42" s="124"/>
    </row>
    <row r="43" spans="1:10" s="154" customFormat="1" ht="17.25" customHeight="1" x14ac:dyDescent="0.2">
      <c r="A43" s="226"/>
      <c r="B43" s="37" t="s">
        <v>408</v>
      </c>
      <c r="C43" s="37"/>
      <c r="D43" s="245"/>
      <c r="E43" s="39"/>
      <c r="F43" s="124">
        <v>1094</v>
      </c>
      <c r="G43" s="124"/>
      <c r="H43" s="38"/>
      <c r="I43" s="204">
        <v>0</v>
      </c>
      <c r="J43" s="124"/>
    </row>
    <row r="44" spans="1:10" s="154" customFormat="1" ht="17.25" customHeight="1" x14ac:dyDescent="0.2">
      <c r="A44" s="226"/>
      <c r="B44" s="37" t="s">
        <v>409</v>
      </c>
      <c r="C44" s="37"/>
      <c r="D44" s="245"/>
      <c r="E44" s="39"/>
      <c r="F44" s="124">
        <v>1064</v>
      </c>
      <c r="G44" s="124"/>
      <c r="H44" s="38"/>
      <c r="I44" s="204">
        <v>0</v>
      </c>
      <c r="J44" s="124"/>
    </row>
    <row r="45" spans="1:10" s="154" customFormat="1" ht="17.25" customHeight="1" x14ac:dyDescent="0.2">
      <c r="A45" s="226"/>
      <c r="B45" s="37" t="s">
        <v>410</v>
      </c>
      <c r="C45" s="37"/>
      <c r="D45" s="245"/>
      <c r="E45" s="39"/>
      <c r="F45" s="124">
        <v>1025</v>
      </c>
      <c r="G45" s="124"/>
      <c r="H45" s="38"/>
      <c r="I45" s="204">
        <v>0</v>
      </c>
      <c r="J45" s="124"/>
    </row>
    <row r="46" spans="1:10" s="154" customFormat="1" ht="17.25" customHeight="1" x14ac:dyDescent="0.2">
      <c r="A46" s="226"/>
      <c r="B46" s="37" t="s">
        <v>411</v>
      </c>
      <c r="C46" s="37"/>
      <c r="D46" s="245"/>
      <c r="E46" s="39"/>
      <c r="F46" s="124">
        <v>953</v>
      </c>
      <c r="G46" s="124"/>
      <c r="H46" s="38"/>
      <c r="I46" s="124">
        <v>1751</v>
      </c>
      <c r="J46" s="124"/>
    </row>
    <row r="47" spans="1:10" s="154" customFormat="1" ht="17.25" customHeight="1" x14ac:dyDescent="0.2">
      <c r="A47" s="226"/>
      <c r="B47" s="37" t="s">
        <v>412</v>
      </c>
      <c r="C47" s="37"/>
      <c r="D47" s="245"/>
      <c r="E47" s="39"/>
      <c r="F47" s="124">
        <v>942</v>
      </c>
      <c r="G47" s="124"/>
      <c r="H47" s="38"/>
      <c r="I47" s="204">
        <v>0</v>
      </c>
      <c r="J47" s="124"/>
    </row>
    <row r="48" spans="1:10" s="154" customFormat="1" ht="17.25" customHeight="1" x14ac:dyDescent="0.2">
      <c r="A48" s="226"/>
      <c r="B48" s="37" t="s">
        <v>413</v>
      </c>
      <c r="C48" s="37"/>
      <c r="D48" s="245"/>
      <c r="E48" s="39"/>
      <c r="F48" s="124">
        <v>903</v>
      </c>
      <c r="G48" s="124"/>
      <c r="H48" s="38"/>
      <c r="I48" s="204">
        <v>0</v>
      </c>
      <c r="J48" s="124"/>
    </row>
    <row r="49" spans="1:10" s="154" customFormat="1" ht="17.25" customHeight="1" x14ac:dyDescent="0.2">
      <c r="A49" s="226"/>
      <c r="B49" s="37" t="s">
        <v>414</v>
      </c>
      <c r="C49" s="37"/>
      <c r="D49" s="245"/>
      <c r="E49" s="39"/>
      <c r="F49" s="124">
        <v>857</v>
      </c>
      <c r="G49" s="124"/>
      <c r="H49" s="38"/>
      <c r="I49" s="204">
        <v>0</v>
      </c>
      <c r="J49" s="124"/>
    </row>
    <row r="50" spans="1:10" s="154" customFormat="1" ht="17.25" customHeight="1" x14ac:dyDescent="0.2">
      <c r="A50" s="226"/>
      <c r="B50" s="37" t="s">
        <v>415</v>
      </c>
      <c r="C50" s="37"/>
      <c r="D50" s="245"/>
      <c r="E50" s="39"/>
      <c r="F50" s="124">
        <v>855</v>
      </c>
      <c r="G50" s="124"/>
      <c r="H50" s="38"/>
      <c r="I50" s="204">
        <v>0</v>
      </c>
      <c r="J50" s="124"/>
    </row>
    <row r="51" spans="1:10" s="154" customFormat="1" ht="17.25" customHeight="1" x14ac:dyDescent="0.2">
      <c r="A51" s="226"/>
      <c r="B51" s="37" t="s">
        <v>416</v>
      </c>
      <c r="C51" s="37"/>
      <c r="D51" s="245"/>
      <c r="E51" s="39"/>
      <c r="F51" s="124">
        <v>789</v>
      </c>
      <c r="G51" s="124"/>
      <c r="H51" s="38"/>
      <c r="I51" s="124">
        <v>943</v>
      </c>
      <c r="J51" s="124"/>
    </row>
    <row r="52" spans="1:10" s="154" customFormat="1" ht="17.25" customHeight="1" x14ac:dyDescent="0.2">
      <c r="A52" s="226"/>
      <c r="B52" s="37" t="s">
        <v>417</v>
      </c>
      <c r="C52" s="37"/>
      <c r="D52" s="245"/>
      <c r="E52" s="39"/>
      <c r="F52" s="124">
        <v>725</v>
      </c>
      <c r="G52" s="124"/>
      <c r="H52" s="38"/>
      <c r="I52" s="204">
        <v>0</v>
      </c>
      <c r="J52" s="124"/>
    </row>
    <row r="53" spans="1:10" s="154" customFormat="1" ht="17.25" customHeight="1" x14ac:dyDescent="0.2">
      <c r="A53" s="226"/>
      <c r="B53" s="37" t="s">
        <v>418</v>
      </c>
      <c r="C53" s="37"/>
      <c r="D53" s="245"/>
      <c r="E53" s="39"/>
      <c r="F53" s="124">
        <v>619</v>
      </c>
      <c r="G53" s="124"/>
      <c r="H53" s="38"/>
      <c r="I53" s="124">
        <v>427</v>
      </c>
      <c r="J53" s="124"/>
    </row>
    <row r="54" spans="1:10" s="154" customFormat="1" ht="17.25" customHeight="1" x14ac:dyDescent="0.2">
      <c r="A54" s="226"/>
      <c r="B54" s="37" t="s">
        <v>303</v>
      </c>
      <c r="C54" s="37"/>
      <c r="D54" s="245"/>
      <c r="E54" s="39"/>
      <c r="F54" s="124">
        <v>614</v>
      </c>
      <c r="G54" s="124"/>
      <c r="H54" s="38"/>
      <c r="I54" s="204">
        <v>0</v>
      </c>
      <c r="J54" s="124"/>
    </row>
    <row r="55" spans="1:10" s="154" customFormat="1" ht="17.25" customHeight="1" x14ac:dyDescent="0.2">
      <c r="A55" s="226"/>
      <c r="B55" s="37" t="s">
        <v>419</v>
      </c>
      <c r="C55" s="37"/>
      <c r="D55" s="245"/>
      <c r="E55" s="39"/>
      <c r="F55" s="124">
        <v>604</v>
      </c>
      <c r="G55" s="124"/>
      <c r="H55" s="38"/>
      <c r="I55" s="204">
        <v>0</v>
      </c>
      <c r="J55" s="124"/>
    </row>
    <row r="56" spans="1:10" s="154" customFormat="1" ht="17.25" customHeight="1" x14ac:dyDescent="0.2">
      <c r="A56" s="226"/>
      <c r="B56" s="37" t="s">
        <v>420</v>
      </c>
      <c r="C56" s="37"/>
      <c r="D56" s="245"/>
      <c r="E56" s="39"/>
      <c r="F56" s="124">
        <v>550</v>
      </c>
      <c r="G56" s="124"/>
      <c r="H56" s="38"/>
      <c r="I56" s="204">
        <v>0</v>
      </c>
      <c r="J56" s="124"/>
    </row>
    <row r="57" spans="1:10" s="154" customFormat="1" ht="17.25" customHeight="1" x14ac:dyDescent="0.2">
      <c r="A57" s="226"/>
      <c r="B57" s="37" t="s">
        <v>421</v>
      </c>
      <c r="C57" s="37"/>
      <c r="D57" s="245"/>
      <c r="E57" s="39"/>
      <c r="F57" s="124">
        <v>532</v>
      </c>
      <c r="G57" s="124"/>
      <c r="H57" s="38"/>
      <c r="I57" s="204">
        <v>0</v>
      </c>
      <c r="J57" s="124"/>
    </row>
    <row r="58" spans="1:10" s="154" customFormat="1" ht="17.25" customHeight="1" x14ac:dyDescent="0.2">
      <c r="A58" s="226"/>
      <c r="B58" s="37" t="s">
        <v>422</v>
      </c>
      <c r="C58" s="37"/>
      <c r="D58" s="245"/>
      <c r="E58" s="39"/>
      <c r="F58" s="124">
        <v>521</v>
      </c>
      <c r="G58" s="124"/>
      <c r="H58" s="38"/>
      <c r="I58" s="204">
        <v>0</v>
      </c>
      <c r="J58" s="124"/>
    </row>
    <row r="59" spans="1:10" s="154" customFormat="1" ht="17.25" customHeight="1" x14ac:dyDescent="0.2">
      <c r="A59" s="226"/>
      <c r="B59" s="37" t="s">
        <v>423</v>
      </c>
      <c r="C59" s="37"/>
      <c r="D59" s="245"/>
      <c r="E59" s="39"/>
      <c r="F59" s="124">
        <v>466</v>
      </c>
      <c r="G59" s="124"/>
      <c r="H59" s="38"/>
      <c r="I59" s="204">
        <v>0</v>
      </c>
      <c r="J59" s="124"/>
    </row>
    <row r="60" spans="1:10" s="154" customFormat="1" ht="17.25" customHeight="1" x14ac:dyDescent="0.2">
      <c r="A60" s="226"/>
      <c r="B60" s="37" t="s">
        <v>424</v>
      </c>
      <c r="C60" s="37"/>
      <c r="D60" s="245"/>
      <c r="E60" s="39"/>
      <c r="F60" s="124">
        <v>407</v>
      </c>
      <c r="G60" s="124"/>
      <c r="H60" s="38"/>
      <c r="I60" s="204">
        <v>0</v>
      </c>
      <c r="J60" s="124"/>
    </row>
    <row r="61" spans="1:10" s="154" customFormat="1" ht="17.25" customHeight="1" x14ac:dyDescent="0.2">
      <c r="A61" s="226"/>
      <c r="B61" s="37" t="s">
        <v>425</v>
      </c>
      <c r="C61" s="37"/>
      <c r="D61" s="245"/>
      <c r="E61" s="39"/>
      <c r="F61" s="124">
        <v>393</v>
      </c>
      <c r="G61" s="124"/>
      <c r="H61" s="38"/>
      <c r="I61" s="204">
        <v>0</v>
      </c>
      <c r="J61" s="124"/>
    </row>
    <row r="62" spans="1:10" s="154" customFormat="1" ht="17.25" customHeight="1" x14ac:dyDescent="0.2">
      <c r="A62" s="226"/>
      <c r="B62" s="37" t="s">
        <v>426</v>
      </c>
      <c r="C62" s="37"/>
      <c r="D62" s="245"/>
      <c r="E62" s="39"/>
      <c r="F62" s="124">
        <v>380</v>
      </c>
      <c r="G62" s="124"/>
      <c r="H62" s="38"/>
      <c r="I62" s="204">
        <v>0</v>
      </c>
      <c r="J62" s="124"/>
    </row>
    <row r="63" spans="1:10" s="154" customFormat="1" ht="17.25" customHeight="1" x14ac:dyDescent="0.2">
      <c r="A63" s="226"/>
      <c r="B63" s="37" t="s">
        <v>427</v>
      </c>
      <c r="C63" s="37"/>
      <c r="D63" s="245"/>
      <c r="E63" s="39"/>
      <c r="F63" s="124">
        <v>380</v>
      </c>
      <c r="G63" s="124"/>
      <c r="H63" s="38"/>
      <c r="I63" s="124">
        <v>380</v>
      </c>
      <c r="J63" s="124"/>
    </row>
    <row r="64" spans="1:10" s="154" customFormat="1" ht="17.25" customHeight="1" x14ac:dyDescent="0.2">
      <c r="A64" s="226"/>
      <c r="B64" s="37" t="s">
        <v>428</v>
      </c>
      <c r="C64" s="37"/>
      <c r="D64" s="245"/>
      <c r="E64" s="39"/>
      <c r="F64" s="124">
        <v>378</v>
      </c>
      <c r="G64" s="124"/>
      <c r="H64" s="38"/>
      <c r="I64" s="204">
        <v>0</v>
      </c>
      <c r="J64" s="124"/>
    </row>
    <row r="65" spans="1:10" s="154" customFormat="1" ht="17.25" customHeight="1" x14ac:dyDescent="0.2">
      <c r="A65" s="226"/>
      <c r="B65" s="37" t="s">
        <v>429</v>
      </c>
      <c r="C65" s="37"/>
      <c r="D65" s="245"/>
      <c r="E65" s="39"/>
      <c r="F65" s="124">
        <v>366</v>
      </c>
      <c r="G65" s="124"/>
      <c r="H65" s="38"/>
      <c r="I65" s="204">
        <v>0</v>
      </c>
      <c r="J65" s="124"/>
    </row>
    <row r="66" spans="1:10" s="154" customFormat="1" ht="17.25" customHeight="1" x14ac:dyDescent="0.2">
      <c r="A66" s="226"/>
      <c r="B66" s="37" t="s">
        <v>430</v>
      </c>
      <c r="C66" s="37"/>
      <c r="D66" s="245"/>
      <c r="E66" s="39"/>
      <c r="F66" s="124">
        <v>353</v>
      </c>
      <c r="G66" s="124"/>
      <c r="H66" s="38"/>
      <c r="I66" s="204">
        <v>0</v>
      </c>
      <c r="J66" s="124"/>
    </row>
    <row r="67" spans="1:10" s="154" customFormat="1" ht="17.25" customHeight="1" x14ac:dyDescent="0.2">
      <c r="A67" s="226"/>
      <c r="B67" s="37" t="s">
        <v>431</v>
      </c>
      <c r="C67" s="37"/>
      <c r="D67" s="245"/>
      <c r="E67" s="39"/>
      <c r="F67" s="124">
        <v>337</v>
      </c>
      <c r="G67" s="124"/>
      <c r="H67" s="38"/>
      <c r="I67" s="204">
        <v>0</v>
      </c>
      <c r="J67" s="124"/>
    </row>
    <row r="68" spans="1:10" s="154" customFormat="1" ht="17.25" customHeight="1" x14ac:dyDescent="0.2">
      <c r="A68" s="226"/>
      <c r="B68" s="37" t="s">
        <v>432</v>
      </c>
      <c r="C68" s="37"/>
      <c r="D68" s="245"/>
      <c r="E68" s="39"/>
      <c r="F68" s="124">
        <v>336</v>
      </c>
      <c r="G68" s="124"/>
      <c r="H68" s="38"/>
      <c r="I68" s="204">
        <v>0</v>
      </c>
      <c r="J68" s="124"/>
    </row>
    <row r="69" spans="1:10" s="154" customFormat="1" ht="17.25" customHeight="1" x14ac:dyDescent="0.2">
      <c r="A69" s="226"/>
      <c r="B69" s="37" t="s">
        <v>433</v>
      </c>
      <c r="C69" s="37"/>
      <c r="D69" s="245"/>
      <c r="E69" s="39"/>
      <c r="F69" s="124">
        <v>317</v>
      </c>
      <c r="G69" s="124"/>
      <c r="H69" s="38"/>
      <c r="I69" s="204">
        <v>0</v>
      </c>
      <c r="J69" s="124"/>
    </row>
    <row r="70" spans="1:10" s="154" customFormat="1" ht="17.25" customHeight="1" x14ac:dyDescent="0.2">
      <c r="A70" s="226"/>
      <c r="B70" s="37" t="s">
        <v>434</v>
      </c>
      <c r="C70" s="37"/>
      <c r="D70" s="245"/>
      <c r="E70" s="39"/>
      <c r="F70" s="124">
        <v>314</v>
      </c>
      <c r="G70" s="124"/>
      <c r="H70" s="38"/>
      <c r="I70" s="204">
        <v>0</v>
      </c>
      <c r="J70" s="124"/>
    </row>
    <row r="71" spans="1:10" s="154" customFormat="1" ht="17.25" customHeight="1" x14ac:dyDescent="0.2">
      <c r="A71" s="226"/>
      <c r="B71" s="37" t="s">
        <v>435</v>
      </c>
      <c r="C71" s="37"/>
      <c r="D71" s="245"/>
      <c r="E71" s="39"/>
      <c r="F71" s="124">
        <v>242</v>
      </c>
      <c r="G71" s="124"/>
      <c r="H71" s="38"/>
      <c r="I71" s="124">
        <v>242</v>
      </c>
      <c r="J71" s="124"/>
    </row>
    <row r="72" spans="1:10" s="154" customFormat="1" ht="17.25" customHeight="1" x14ac:dyDescent="0.2">
      <c r="A72" s="226"/>
      <c r="B72" s="37" t="s">
        <v>399</v>
      </c>
      <c r="C72" s="37"/>
      <c r="D72" s="245"/>
      <c r="E72" s="39"/>
      <c r="F72" s="124">
        <v>224</v>
      </c>
      <c r="G72" s="124"/>
      <c r="H72" s="38"/>
      <c r="I72" s="124">
        <v>1736</v>
      </c>
      <c r="J72" s="124"/>
    </row>
    <row r="73" spans="1:10" s="154" customFormat="1" ht="17.25" customHeight="1" x14ac:dyDescent="0.2">
      <c r="A73" s="226"/>
      <c r="B73" s="37" t="s">
        <v>0</v>
      </c>
      <c r="C73" s="37"/>
      <c r="D73" s="245"/>
      <c r="E73" s="39"/>
      <c r="F73" s="124">
        <f>3693+504+49+5</f>
        <v>4251</v>
      </c>
      <c r="G73" s="204"/>
      <c r="H73" s="38"/>
      <c r="I73" s="124">
        <f>1247+503</f>
        <v>1750</v>
      </c>
      <c r="J73" s="124">
        <v>1059050</v>
      </c>
    </row>
    <row r="74" spans="1:10" s="154" customFormat="1" ht="19.5" customHeight="1" thickBot="1" x14ac:dyDescent="0.25">
      <c r="A74" s="39"/>
      <c r="B74" s="50"/>
      <c r="C74" s="50"/>
      <c r="D74" s="39"/>
      <c r="E74" s="39"/>
      <c r="F74" s="40">
        <f>SUM(F37:F73)</f>
        <v>42583</v>
      </c>
      <c r="G74" s="40">
        <f>SUM(G37:G73)</f>
        <v>0</v>
      </c>
      <c r="H74" s="124"/>
      <c r="I74" s="40">
        <f>SUM(I37:I73)</f>
        <v>25898</v>
      </c>
      <c r="J74" s="40">
        <f>SUM(J37:J73)</f>
        <v>47214550</v>
      </c>
    </row>
    <row r="75" spans="1:10" s="154" customFormat="1" ht="23.25" thickTop="1" x14ac:dyDescent="0.2">
      <c r="A75" s="226"/>
      <c r="B75" s="37" t="s">
        <v>335</v>
      </c>
      <c r="C75" s="37"/>
      <c r="D75" s="39"/>
      <c r="E75" s="39"/>
      <c r="F75" s="38"/>
      <c r="G75" s="38"/>
      <c r="H75" s="38"/>
      <c r="I75" s="124"/>
      <c r="J75" s="124"/>
    </row>
    <row r="76" spans="1:10" s="154" customFormat="1" ht="22.5" x14ac:dyDescent="0.2">
      <c r="A76" s="294">
        <v>9</v>
      </c>
      <c r="B76" s="294"/>
      <c r="C76" s="294"/>
      <c r="D76" s="294"/>
      <c r="E76" s="294"/>
      <c r="F76" s="294"/>
      <c r="G76" s="294"/>
      <c r="H76" s="294"/>
      <c r="I76" s="294"/>
      <c r="J76" s="124"/>
    </row>
    <row r="77" spans="1:10" s="154" customFormat="1" ht="22.5" x14ac:dyDescent="0.2">
      <c r="A77" s="49"/>
      <c r="B77" s="37" t="s">
        <v>364</v>
      </c>
      <c r="C77" s="37"/>
      <c r="D77" s="36"/>
      <c r="E77" s="37"/>
      <c r="F77" s="36"/>
      <c r="G77" s="36"/>
      <c r="H77" s="39"/>
      <c r="I77" s="36"/>
      <c r="J77" s="36"/>
    </row>
    <row r="78" spans="1:10" s="154" customFormat="1" ht="21" customHeight="1" x14ac:dyDescent="0.2">
      <c r="A78" s="36"/>
      <c r="B78" s="37"/>
      <c r="C78" s="37"/>
      <c r="D78" s="36"/>
      <c r="E78" s="36"/>
      <c r="F78" s="254"/>
      <c r="G78" s="254"/>
      <c r="H78" s="248"/>
      <c r="I78" s="151" t="s">
        <v>139</v>
      </c>
      <c r="J78" s="151" t="s">
        <v>139</v>
      </c>
    </row>
    <row r="79" spans="1:10" s="154" customFormat="1" ht="20.25" customHeight="1" x14ac:dyDescent="0.2">
      <c r="A79" s="36"/>
      <c r="B79" s="37"/>
      <c r="C79" s="37"/>
      <c r="D79" s="36"/>
      <c r="E79" s="36"/>
      <c r="F79" s="52"/>
      <c r="G79" s="52"/>
      <c r="H79" s="52"/>
      <c r="I79" s="147" t="s">
        <v>132</v>
      </c>
      <c r="J79" s="147" t="s">
        <v>120</v>
      </c>
    </row>
    <row r="80" spans="1:10" s="154" customFormat="1" ht="20.25" customHeight="1" x14ac:dyDescent="0.2">
      <c r="A80" s="36"/>
      <c r="B80" s="37" t="s">
        <v>436</v>
      </c>
      <c r="C80" s="37"/>
      <c r="D80" s="36"/>
      <c r="E80" s="36"/>
      <c r="F80" s="52"/>
      <c r="G80" s="52"/>
      <c r="H80" s="52"/>
      <c r="I80" s="124">
        <f>1277+60</f>
        <v>1337</v>
      </c>
      <c r="J80" s="52"/>
    </row>
    <row r="81" spans="1:10" s="154" customFormat="1" ht="20.25" customHeight="1" x14ac:dyDescent="0.2">
      <c r="A81" s="226"/>
      <c r="B81" s="37" t="s">
        <v>437</v>
      </c>
      <c r="C81" s="37"/>
      <c r="D81" s="36"/>
      <c r="E81" s="39"/>
      <c r="F81" s="124"/>
      <c r="G81" s="124"/>
      <c r="H81" s="38"/>
      <c r="I81" s="124">
        <f>1198+2</f>
        <v>1200</v>
      </c>
      <c r="J81" s="124"/>
    </row>
    <row r="82" spans="1:10" s="154" customFormat="1" ht="20.25" customHeight="1" x14ac:dyDescent="0.2">
      <c r="A82" s="226"/>
      <c r="B82" s="37" t="s">
        <v>425</v>
      </c>
      <c r="C82" s="37"/>
      <c r="D82" s="39"/>
      <c r="E82" s="39"/>
      <c r="F82" s="124"/>
      <c r="G82" s="124"/>
      <c r="H82" s="38"/>
      <c r="I82" s="124">
        <v>1059</v>
      </c>
      <c r="J82" s="124"/>
    </row>
    <row r="83" spans="1:10" s="154" customFormat="1" ht="20.25" customHeight="1" x14ac:dyDescent="0.2">
      <c r="A83" s="226"/>
      <c r="B83" s="37" t="s">
        <v>424</v>
      </c>
      <c r="C83" s="37"/>
      <c r="D83" s="39"/>
      <c r="E83" s="39"/>
      <c r="F83" s="124"/>
      <c r="G83" s="124"/>
      <c r="H83" s="38"/>
      <c r="I83" s="124">
        <v>1012</v>
      </c>
      <c r="J83" s="124"/>
    </row>
    <row r="84" spans="1:10" s="154" customFormat="1" ht="20.25" customHeight="1" x14ac:dyDescent="0.2">
      <c r="A84" s="226"/>
      <c r="B84" s="37" t="s">
        <v>303</v>
      </c>
      <c r="C84" s="37"/>
      <c r="D84" s="39"/>
      <c r="E84" s="39"/>
      <c r="F84" s="124"/>
      <c r="G84" s="124"/>
      <c r="H84" s="38"/>
      <c r="I84" s="124">
        <v>962</v>
      </c>
      <c r="J84" s="124"/>
    </row>
    <row r="85" spans="1:10" s="154" customFormat="1" ht="20.25" customHeight="1" x14ac:dyDescent="0.2">
      <c r="A85" s="226"/>
      <c r="B85" s="37" t="s">
        <v>304</v>
      </c>
      <c r="C85" s="37"/>
      <c r="D85" s="36"/>
      <c r="E85" s="39"/>
      <c r="F85" s="124"/>
      <c r="G85" s="124"/>
      <c r="H85" s="38"/>
      <c r="I85" s="124">
        <f>893+4</f>
        <v>897</v>
      </c>
      <c r="J85" s="124"/>
    </row>
    <row r="86" spans="1:10" s="154" customFormat="1" ht="20.25" customHeight="1" x14ac:dyDescent="0.2">
      <c r="A86" s="226"/>
      <c r="B86" s="37" t="s">
        <v>421</v>
      </c>
      <c r="C86" s="37"/>
      <c r="D86" s="36"/>
      <c r="E86" s="39"/>
      <c r="F86" s="124"/>
      <c r="G86" s="124"/>
      <c r="H86" s="38"/>
      <c r="I86" s="124">
        <f>808+7</f>
        <v>815</v>
      </c>
      <c r="J86" s="124"/>
    </row>
    <row r="87" spans="1:10" s="154" customFormat="1" ht="20.25" customHeight="1" x14ac:dyDescent="0.2">
      <c r="A87" s="226"/>
      <c r="B87" s="37" t="s">
        <v>305</v>
      </c>
      <c r="C87" s="37"/>
      <c r="D87" s="36"/>
      <c r="E87" s="39"/>
      <c r="F87" s="124"/>
      <c r="G87" s="124"/>
      <c r="H87" s="38"/>
      <c r="I87" s="124">
        <f>454+231+47</f>
        <v>732</v>
      </c>
      <c r="J87" s="124"/>
    </row>
    <row r="88" spans="1:10" s="154" customFormat="1" ht="20.25" customHeight="1" x14ac:dyDescent="0.2">
      <c r="A88" s="226"/>
      <c r="B88" s="37" t="s">
        <v>399</v>
      </c>
      <c r="C88" s="37"/>
      <c r="D88" s="36"/>
      <c r="E88" s="39"/>
      <c r="F88" s="124"/>
      <c r="G88" s="124"/>
      <c r="H88" s="38"/>
      <c r="I88" s="124">
        <f>270+380</f>
        <v>650</v>
      </c>
      <c r="J88" s="124"/>
    </row>
    <row r="89" spans="1:10" ht="20.25" customHeight="1" x14ac:dyDescent="0.2">
      <c r="A89" s="226"/>
      <c r="B89" s="50" t="s">
        <v>407</v>
      </c>
      <c r="C89" s="50"/>
      <c r="D89" s="39"/>
      <c r="E89" s="39"/>
      <c r="F89" s="124"/>
      <c r="G89" s="124"/>
      <c r="H89" s="38"/>
      <c r="I89" s="124">
        <v>569</v>
      </c>
      <c r="J89" s="124"/>
    </row>
    <row r="90" spans="1:10" s="154" customFormat="1" ht="20.25" customHeight="1" x14ac:dyDescent="0.2">
      <c r="A90" s="226"/>
      <c r="B90" s="37" t="s">
        <v>438</v>
      </c>
      <c r="C90" s="37"/>
      <c r="D90" s="39"/>
      <c r="E90" s="39"/>
      <c r="F90" s="124"/>
      <c r="G90" s="124"/>
      <c r="H90" s="38"/>
      <c r="I90" s="124">
        <v>500</v>
      </c>
      <c r="J90" s="124"/>
    </row>
    <row r="91" spans="1:10" s="154" customFormat="1" ht="20.25" customHeight="1" x14ac:dyDescent="0.2">
      <c r="A91" s="226"/>
      <c r="B91" s="37" t="s">
        <v>439</v>
      </c>
      <c r="C91" s="37"/>
      <c r="D91" s="39"/>
      <c r="E91" s="39"/>
      <c r="F91" s="124"/>
      <c r="G91" s="124"/>
      <c r="H91" s="38"/>
      <c r="I91" s="124">
        <f>455+20</f>
        <v>475</v>
      </c>
      <c r="J91" s="124"/>
    </row>
    <row r="92" spans="1:10" s="154" customFormat="1" ht="20.25" customHeight="1" x14ac:dyDescent="0.2">
      <c r="A92" s="226"/>
      <c r="B92" s="37" t="s">
        <v>420</v>
      </c>
      <c r="C92" s="37"/>
      <c r="D92" s="39"/>
      <c r="E92" s="39"/>
      <c r="F92" s="124"/>
      <c r="G92" s="124"/>
      <c r="H92" s="38"/>
      <c r="I92" s="124">
        <v>220</v>
      </c>
      <c r="J92" s="124"/>
    </row>
    <row r="93" spans="1:10" s="154" customFormat="1" ht="20.25" customHeight="1" x14ac:dyDescent="0.2">
      <c r="A93" s="226"/>
      <c r="B93" s="37" t="s">
        <v>440</v>
      </c>
      <c r="C93" s="37"/>
      <c r="D93" s="39"/>
      <c r="E93" s="39"/>
      <c r="F93" s="124"/>
      <c r="G93" s="124"/>
      <c r="H93" s="38"/>
      <c r="I93" s="124">
        <f>202+13</f>
        <v>215</v>
      </c>
      <c r="J93" s="124"/>
    </row>
    <row r="94" spans="1:10" s="154" customFormat="1" ht="20.25" customHeight="1" x14ac:dyDescent="0.2">
      <c r="A94" s="226"/>
      <c r="B94" s="37" t="s">
        <v>441</v>
      </c>
      <c r="C94" s="37"/>
      <c r="D94" s="39"/>
      <c r="E94" s="39"/>
      <c r="F94" s="124"/>
      <c r="G94" s="124"/>
      <c r="H94" s="38"/>
      <c r="I94" s="124">
        <v>200</v>
      </c>
      <c r="J94" s="124"/>
    </row>
    <row r="95" spans="1:10" s="154" customFormat="1" ht="20.25" customHeight="1" x14ac:dyDescent="0.2">
      <c r="A95" s="226"/>
      <c r="B95" s="37" t="s">
        <v>442</v>
      </c>
      <c r="C95" s="37"/>
      <c r="D95" s="39"/>
      <c r="E95" s="39"/>
      <c r="F95" s="124"/>
      <c r="G95" s="124"/>
      <c r="H95" s="38"/>
      <c r="I95" s="124">
        <f>187+8</f>
        <v>195</v>
      </c>
      <c r="J95" s="124"/>
    </row>
    <row r="96" spans="1:10" s="154" customFormat="1" ht="20.25" customHeight="1" x14ac:dyDescent="0.2">
      <c r="A96" s="226"/>
      <c r="B96" s="37" t="s">
        <v>443</v>
      </c>
      <c r="C96" s="37"/>
      <c r="D96" s="39"/>
      <c r="E96" s="39"/>
      <c r="F96" s="124"/>
      <c r="G96" s="124"/>
      <c r="H96" s="38"/>
      <c r="I96" s="124">
        <v>175</v>
      </c>
      <c r="J96" s="124"/>
    </row>
    <row r="97" spans="1:10" s="154" customFormat="1" ht="20.25" customHeight="1" x14ac:dyDescent="0.2">
      <c r="A97" s="226"/>
      <c r="B97" s="37" t="s">
        <v>444</v>
      </c>
      <c r="C97" s="37"/>
      <c r="D97" s="39"/>
      <c r="E97" s="39"/>
      <c r="F97" s="124"/>
      <c r="G97" s="124"/>
      <c r="H97" s="38"/>
      <c r="I97" s="124">
        <v>170</v>
      </c>
      <c r="J97" s="124"/>
    </row>
    <row r="98" spans="1:10" s="154" customFormat="1" ht="20.25" customHeight="1" x14ac:dyDescent="0.2">
      <c r="A98" s="226"/>
      <c r="B98" s="37" t="s">
        <v>432</v>
      </c>
      <c r="C98" s="37"/>
      <c r="D98" s="39"/>
      <c r="E98" s="39"/>
      <c r="F98" s="124"/>
      <c r="G98" s="124"/>
      <c r="H98" s="38"/>
      <c r="I98" s="124">
        <v>129</v>
      </c>
      <c r="J98" s="124"/>
    </row>
    <row r="99" spans="1:10" s="154" customFormat="1" ht="20.25" customHeight="1" x14ac:dyDescent="0.2">
      <c r="A99" s="226"/>
      <c r="B99" s="37" t="s">
        <v>0</v>
      </c>
      <c r="C99" s="37"/>
      <c r="D99" s="39"/>
      <c r="E99" s="39"/>
      <c r="F99" s="124"/>
      <c r="G99" s="124"/>
      <c r="H99" s="38"/>
      <c r="I99" s="124">
        <v>569</v>
      </c>
      <c r="J99" s="124"/>
    </row>
    <row r="100" spans="1:10" s="154" customFormat="1" ht="23.25" thickBot="1" x14ac:dyDescent="0.25">
      <c r="A100" s="39"/>
      <c r="B100" s="50"/>
      <c r="C100" s="50"/>
      <c r="D100" s="39"/>
      <c r="E100" s="39"/>
      <c r="F100" s="124"/>
      <c r="G100" s="124"/>
      <c r="H100" s="124"/>
      <c r="I100" s="40">
        <f>SUM(I80:I99)</f>
        <v>12081</v>
      </c>
      <c r="J100" s="40"/>
    </row>
    <row r="101" spans="1:10" s="154" customFormat="1" ht="23.25" thickTop="1" x14ac:dyDescent="0.2">
      <c r="A101" s="39"/>
      <c r="B101" s="50" t="s">
        <v>363</v>
      </c>
      <c r="C101" s="50"/>
      <c r="D101" s="39"/>
      <c r="E101" s="39"/>
      <c r="F101" s="124"/>
      <c r="G101" s="124"/>
      <c r="H101" s="124"/>
      <c r="I101" s="124"/>
      <c r="J101" s="124"/>
    </row>
    <row r="102" spans="1:10" s="154" customFormat="1" ht="22.5" x14ac:dyDescent="0.2">
      <c r="A102" s="39"/>
      <c r="B102" s="50"/>
      <c r="C102" s="50"/>
      <c r="D102" s="39"/>
      <c r="E102" s="39"/>
      <c r="F102" s="124"/>
      <c r="G102" s="124"/>
      <c r="H102" s="124"/>
      <c r="I102" s="124"/>
      <c r="J102" s="124"/>
    </row>
    <row r="103" spans="1:10" s="154" customFormat="1" ht="22.5" x14ac:dyDescent="0.2">
      <c r="A103" s="61" t="s">
        <v>55</v>
      </c>
      <c r="B103" s="244" t="s">
        <v>279</v>
      </c>
      <c r="C103" s="39"/>
      <c r="D103" s="39"/>
      <c r="E103" s="39"/>
      <c r="F103" s="39"/>
      <c r="G103" s="52"/>
      <c r="H103" s="52"/>
      <c r="I103" s="52"/>
      <c r="J103" s="52"/>
    </row>
    <row r="104" spans="1:10" s="154" customFormat="1" ht="22.5" x14ac:dyDescent="0.55000000000000004">
      <c r="A104" s="36"/>
      <c r="B104" s="39" t="s">
        <v>281</v>
      </c>
      <c r="C104" s="39"/>
      <c r="D104" s="39"/>
      <c r="E104" s="39"/>
      <c r="F104" s="39"/>
      <c r="G104" s="152"/>
      <c r="H104" s="152"/>
      <c r="I104" s="152"/>
      <c r="J104" s="152"/>
    </row>
    <row r="105" spans="1:10" s="154" customFormat="1" ht="22.5" x14ac:dyDescent="0.55000000000000004">
      <c r="A105" s="36"/>
      <c r="B105" s="255"/>
      <c r="C105" s="39"/>
      <c r="D105" s="152"/>
      <c r="E105" s="39"/>
      <c r="F105" s="151">
        <v>1389</v>
      </c>
      <c r="G105" s="151">
        <v>1389</v>
      </c>
      <c r="H105" s="248"/>
      <c r="I105" s="146">
        <v>1388</v>
      </c>
      <c r="J105" s="146">
        <v>1388</v>
      </c>
    </row>
    <row r="106" spans="1:10" s="154" customFormat="1" ht="22.5" x14ac:dyDescent="0.2">
      <c r="A106" s="36"/>
      <c r="B106" s="255"/>
      <c r="C106" s="39"/>
      <c r="D106" s="39"/>
      <c r="E106" s="39"/>
      <c r="F106" s="147" t="s">
        <v>132</v>
      </c>
      <c r="G106" s="147" t="s">
        <v>120</v>
      </c>
      <c r="H106" s="52"/>
      <c r="I106" s="147" t="s">
        <v>132</v>
      </c>
      <c r="J106" s="147" t="s">
        <v>120</v>
      </c>
    </row>
    <row r="107" spans="1:10" s="154" customFormat="1" ht="22.5" x14ac:dyDescent="0.2">
      <c r="A107" s="36"/>
      <c r="B107" s="255" t="s">
        <v>346</v>
      </c>
      <c r="C107" s="39"/>
      <c r="D107" s="203"/>
      <c r="E107" s="39"/>
      <c r="F107" s="124">
        <v>1268</v>
      </c>
      <c r="G107" s="124"/>
      <c r="H107" s="38"/>
      <c r="I107" s="124">
        <v>7</v>
      </c>
      <c r="J107" s="204">
        <v>0</v>
      </c>
    </row>
    <row r="108" spans="1:10" s="154" customFormat="1" ht="22.5" x14ac:dyDescent="0.2">
      <c r="A108" s="36"/>
      <c r="B108" s="255" t="s">
        <v>445</v>
      </c>
      <c r="C108" s="39"/>
      <c r="D108" s="203"/>
      <c r="E108" s="39"/>
      <c r="F108" s="124">
        <v>659</v>
      </c>
      <c r="G108" s="124"/>
      <c r="H108" s="38"/>
      <c r="I108" s="124">
        <v>659</v>
      </c>
      <c r="J108" s="124">
        <v>80171795</v>
      </c>
    </row>
    <row r="109" spans="1:10" s="154" customFormat="1" ht="22.5" x14ac:dyDescent="0.2">
      <c r="A109" s="36"/>
      <c r="B109" s="255" t="s">
        <v>446</v>
      </c>
      <c r="C109" s="39"/>
      <c r="D109" s="39"/>
      <c r="E109" s="39"/>
      <c r="F109" s="124">
        <v>108</v>
      </c>
      <c r="G109" s="124"/>
      <c r="H109" s="38"/>
      <c r="I109" s="124">
        <v>65</v>
      </c>
      <c r="J109" s="124"/>
    </row>
    <row r="110" spans="1:10" s="154" customFormat="1" ht="22.5" x14ac:dyDescent="0.2">
      <c r="A110" s="36"/>
      <c r="B110" s="255" t="s">
        <v>0</v>
      </c>
      <c r="C110" s="39"/>
      <c r="D110" s="39"/>
      <c r="E110" s="39"/>
      <c r="F110" s="124">
        <v>77</v>
      </c>
      <c r="G110" s="124"/>
      <c r="H110" s="38"/>
      <c r="I110" s="124">
        <f>3+9+7+1+5+13+4+75</f>
        <v>117</v>
      </c>
      <c r="J110" s="124">
        <f>9086789+150000+1689222+5824789+7200000</f>
        <v>23950800</v>
      </c>
    </row>
    <row r="111" spans="1:10" s="154" customFormat="1" ht="23.25" thickBot="1" x14ac:dyDescent="0.25">
      <c r="A111" s="36"/>
      <c r="B111" s="36"/>
      <c r="C111" s="36"/>
      <c r="D111" s="36"/>
      <c r="E111" s="36"/>
      <c r="F111" s="40">
        <f>SUM(F107:F110)</f>
        <v>2112</v>
      </c>
      <c r="G111" s="40">
        <f>SUM(G107:G110)</f>
        <v>0</v>
      </c>
      <c r="H111" s="124"/>
      <c r="I111" s="40">
        <f>SUM(I107:I110)</f>
        <v>848</v>
      </c>
      <c r="J111" s="40">
        <f>SUM(J107:J110)</f>
        <v>104122595</v>
      </c>
    </row>
    <row r="112" spans="1:10" s="154" customFormat="1" ht="23.25" thickTop="1" x14ac:dyDescent="0.2">
      <c r="A112" s="294">
        <v>10</v>
      </c>
      <c r="B112" s="294"/>
      <c r="C112" s="294"/>
      <c r="D112" s="294"/>
      <c r="E112" s="294"/>
      <c r="F112" s="294"/>
      <c r="G112" s="294"/>
      <c r="H112" s="294"/>
      <c r="I112" s="294"/>
      <c r="J112" s="153"/>
    </row>
    <row r="113" s="154" customFormat="1" ht="24.95" customHeight="1" x14ac:dyDescent="0.2"/>
    <row r="114" s="154" customFormat="1" ht="24.95" customHeight="1" x14ac:dyDescent="0.2"/>
    <row r="115" s="154" customFormat="1" ht="24.95" customHeight="1" x14ac:dyDescent="0.2"/>
    <row r="116" s="154" customFormat="1" ht="24.95" customHeight="1" x14ac:dyDescent="0.2"/>
    <row r="117" s="154" customFormat="1" ht="24.95" customHeight="1" x14ac:dyDescent="0.2"/>
    <row r="118" s="154" customFormat="1" ht="24.95" customHeight="1" x14ac:dyDescent="0.2"/>
    <row r="119" s="154" customFormat="1" ht="24.95" customHeight="1" x14ac:dyDescent="0.2"/>
    <row r="120" s="154" customFormat="1" ht="24.95" customHeight="1" x14ac:dyDescent="0.2"/>
    <row r="121" s="154" customFormat="1" ht="24.95" customHeight="1" x14ac:dyDescent="0.2"/>
    <row r="122" s="154" customFormat="1" ht="24.95" customHeight="1" x14ac:dyDescent="0.2"/>
    <row r="123" s="154" customFormat="1" ht="24.95" customHeight="1" x14ac:dyDescent="0.2"/>
    <row r="124" s="154" customFormat="1" ht="24.95" customHeight="1" x14ac:dyDescent="0.2"/>
    <row r="125" s="154" customFormat="1" ht="24.95" customHeight="1" x14ac:dyDescent="0.2"/>
    <row r="126" s="154" customFormat="1" ht="24.95" customHeight="1" x14ac:dyDescent="0.2"/>
    <row r="127" s="154" customFormat="1" ht="24.95" customHeight="1" x14ac:dyDescent="0.2"/>
    <row r="128" s="154" customFormat="1" ht="24.95" customHeight="1" x14ac:dyDescent="0.2"/>
    <row r="129" s="154" customFormat="1" ht="24.95" customHeight="1" x14ac:dyDescent="0.2"/>
    <row r="130" s="154" customFormat="1" ht="24.95" customHeight="1" x14ac:dyDescent="0.2"/>
    <row r="131" s="154" customFormat="1" ht="24.95" customHeight="1" x14ac:dyDescent="0.2"/>
    <row r="132" s="154" customFormat="1" ht="24.95" customHeight="1" x14ac:dyDescent="0.2"/>
    <row r="133" s="154" customFormat="1" ht="24.95" customHeight="1" x14ac:dyDescent="0.2"/>
    <row r="134" s="154" customFormat="1" ht="24.95" customHeight="1" x14ac:dyDescent="0.2"/>
    <row r="135" s="154" customFormat="1" ht="24.95" customHeight="1" x14ac:dyDescent="0.2"/>
    <row r="136" s="154" customFormat="1" ht="24.95" customHeight="1" x14ac:dyDescent="0.2"/>
    <row r="137" s="154" customFormat="1" ht="24.95" customHeight="1" x14ac:dyDescent="0.2"/>
    <row r="138" s="154" customFormat="1" ht="24.95" customHeight="1" x14ac:dyDescent="0.2"/>
    <row r="139" s="154" customFormat="1" ht="24.95" customHeight="1" x14ac:dyDescent="0.2"/>
    <row r="140" s="154" customFormat="1" ht="24.95" customHeight="1" x14ac:dyDescent="0.2"/>
    <row r="141" s="154" customFormat="1" ht="24.95" customHeight="1" x14ac:dyDescent="0.2"/>
    <row r="142" s="154" customFormat="1" ht="24.95" customHeight="1" x14ac:dyDescent="0.2"/>
    <row r="143" s="154" customFormat="1" ht="24.95" customHeight="1" x14ac:dyDescent="0.2"/>
    <row r="144" s="154" customFormat="1" ht="24.95" customHeight="1" x14ac:dyDescent="0.2"/>
    <row r="145" s="154" customFormat="1" ht="24.95" customHeight="1" x14ac:dyDescent="0.2"/>
    <row r="146" s="154" customFormat="1" ht="24.95" customHeight="1" x14ac:dyDescent="0.2"/>
    <row r="147" s="154" customFormat="1" ht="24.95" customHeight="1" x14ac:dyDescent="0.2"/>
    <row r="148" s="154" customFormat="1" ht="24.95" customHeight="1" x14ac:dyDescent="0.2"/>
    <row r="149" s="154" customFormat="1" ht="24.95" customHeight="1" x14ac:dyDescent="0.2"/>
    <row r="150" s="154" customFormat="1" ht="24.95" customHeight="1" x14ac:dyDescent="0.2"/>
    <row r="151" s="154" customFormat="1" ht="24.95" customHeight="1" x14ac:dyDescent="0.2"/>
    <row r="152" s="154" customFormat="1" ht="24.95" customHeight="1" x14ac:dyDescent="0.2"/>
    <row r="153" s="154" customFormat="1" ht="24.95" customHeight="1" x14ac:dyDescent="0.2"/>
    <row r="154" s="154" customFormat="1" ht="24.95" customHeight="1" x14ac:dyDescent="0.2"/>
    <row r="155" s="154" customFormat="1" ht="24.95" customHeight="1" x14ac:dyDescent="0.2"/>
    <row r="156" s="154" customFormat="1" ht="24.95" customHeight="1" x14ac:dyDescent="0.2"/>
    <row r="157" s="154" customFormat="1" ht="24.95" customHeight="1" x14ac:dyDescent="0.2"/>
    <row r="158" s="154" customFormat="1" ht="24.95" customHeight="1" x14ac:dyDescent="0.2"/>
    <row r="159" s="154" customFormat="1" ht="24.95" customHeight="1" x14ac:dyDescent="0.2"/>
    <row r="160" s="154" customFormat="1" ht="24.95" customHeight="1" x14ac:dyDescent="0.2"/>
    <row r="161" s="154" customFormat="1" ht="24.95" customHeight="1" x14ac:dyDescent="0.2"/>
    <row r="162" s="154" customFormat="1" ht="24.95" customHeight="1" x14ac:dyDescent="0.2"/>
    <row r="163" s="154" customFormat="1" ht="24.95" customHeight="1" x14ac:dyDescent="0.2"/>
    <row r="164" s="154" customFormat="1" ht="24.95" customHeight="1" x14ac:dyDescent="0.2"/>
  </sheetData>
  <mergeCells count="3">
    <mergeCell ref="A112:I112"/>
    <mergeCell ref="A33:I33"/>
    <mergeCell ref="A76:I76"/>
  </mergeCells>
  <printOptions horizontalCentered="1"/>
  <pageMargins left="0.59055118110236227" right="0.59055118110236227" top="1.2204724409448819" bottom="0.19685039370078741" header="0.31496062992125984" footer="0.27559055118110237"/>
  <pageSetup paperSize="9" firstPageNumber="5" fitToHeight="3" orientation="portrait" useFirstPageNumber="1"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rightToLeft="1" view="pageBreakPreview" zoomScaleSheetLayoutView="100" workbookViewId="0">
      <selection activeCell="B9" sqref="B9:I10"/>
    </sheetView>
  </sheetViews>
  <sheetFormatPr defaultRowHeight="22.5" x14ac:dyDescent="0.2"/>
  <cols>
    <col min="1" max="1" width="7.42578125" style="36" customWidth="1"/>
    <col min="2" max="2" width="44.140625" style="125" customWidth="1"/>
    <col min="3" max="3" width="3.5703125" style="125" customWidth="1"/>
    <col min="4" max="4" width="6.85546875" style="36" customWidth="1"/>
    <col min="5" max="5" width="3.85546875" style="36" customWidth="1"/>
    <col min="6" max="6" width="10" style="36" customWidth="1"/>
    <col min="7" max="7" width="18.140625" style="36" hidden="1" customWidth="1"/>
    <col min="8" max="8" width="1.5703125" style="36" customWidth="1"/>
    <col min="9" max="9" width="11.5703125" style="36" customWidth="1"/>
    <col min="10" max="10" width="15.5703125" style="36" hidden="1" customWidth="1"/>
    <col min="11" max="11" width="17.28515625" style="51" customWidth="1"/>
    <col min="12" max="16384" width="9.140625" style="39"/>
  </cols>
  <sheetData>
    <row r="1" spans="1:13" ht="24.75" customHeight="1" x14ac:dyDescent="0.2">
      <c r="A1" s="49" t="s">
        <v>56</v>
      </c>
      <c r="B1" s="244" t="s">
        <v>4</v>
      </c>
      <c r="C1" s="244"/>
    </row>
    <row r="2" spans="1:13" ht="14.25" customHeight="1" x14ac:dyDescent="0.2"/>
    <row r="3" spans="1:13" ht="23.25" customHeight="1" x14ac:dyDescent="0.2">
      <c r="B3" s="37"/>
      <c r="C3" s="37"/>
      <c r="D3" s="52"/>
      <c r="F3" s="227">
        <v>1389</v>
      </c>
      <c r="G3" s="227">
        <v>1389</v>
      </c>
      <c r="H3" s="52"/>
      <c r="I3" s="227">
        <v>1388</v>
      </c>
      <c r="J3" s="227">
        <v>1388</v>
      </c>
    </row>
    <row r="4" spans="1:13" ht="24" customHeight="1" x14ac:dyDescent="0.55000000000000004">
      <c r="B4" s="37"/>
      <c r="C4" s="37"/>
      <c r="D4" s="39"/>
      <c r="F4" s="230" t="s">
        <v>132</v>
      </c>
      <c r="G4" s="230" t="s">
        <v>120</v>
      </c>
      <c r="H4" s="230"/>
      <c r="I4" s="230" t="s">
        <v>132</v>
      </c>
      <c r="J4" s="230" t="s">
        <v>120</v>
      </c>
    </row>
    <row r="5" spans="1:13" ht="21.75" customHeight="1" x14ac:dyDescent="0.2">
      <c r="B5" s="239" t="s">
        <v>140</v>
      </c>
      <c r="C5" s="37"/>
      <c r="D5" s="245"/>
      <c r="F5" s="124">
        <v>8985</v>
      </c>
      <c r="G5" s="124"/>
      <c r="H5" s="124"/>
      <c r="I5" s="124">
        <v>7836</v>
      </c>
      <c r="J5" s="124">
        <v>8681363000</v>
      </c>
    </row>
    <row r="6" spans="1:13" ht="21.75" customHeight="1" x14ac:dyDescent="0.2">
      <c r="B6" s="37" t="s">
        <v>141</v>
      </c>
      <c r="C6" s="37"/>
      <c r="D6" s="245"/>
      <c r="F6" s="124">
        <v>32248</v>
      </c>
      <c r="G6" s="124"/>
      <c r="H6" s="124"/>
      <c r="I6" s="124">
        <v>18239</v>
      </c>
      <c r="J6" s="124">
        <v>774300000</v>
      </c>
    </row>
    <row r="7" spans="1:13" ht="21" customHeight="1" thickBot="1" x14ac:dyDescent="0.25">
      <c r="B7" s="50"/>
      <c r="C7" s="50"/>
      <c r="F7" s="40">
        <f>SUM(F5:F6)</f>
        <v>41233</v>
      </c>
      <c r="G7" s="40">
        <f>SUM(G5:G6)</f>
        <v>0</v>
      </c>
      <c r="H7" s="37"/>
      <c r="I7" s="40">
        <f>SUM(I5:I6)</f>
        <v>26075</v>
      </c>
      <c r="J7" s="40">
        <f>SUM(J5:J6)</f>
        <v>9455663000</v>
      </c>
    </row>
    <row r="8" spans="1:13" ht="12" customHeight="1" thickTop="1" x14ac:dyDescent="0.2">
      <c r="B8" s="50"/>
      <c r="C8" s="50"/>
      <c r="F8" s="124"/>
      <c r="G8" s="124"/>
      <c r="H8" s="37"/>
      <c r="I8" s="124"/>
      <c r="J8" s="124"/>
    </row>
    <row r="9" spans="1:13" s="50" customFormat="1" ht="23.25" customHeight="1" x14ac:dyDescent="0.2">
      <c r="A9" s="49"/>
      <c r="B9" s="295" t="s">
        <v>282</v>
      </c>
      <c r="C9" s="295"/>
      <c r="D9" s="295"/>
      <c r="E9" s="295"/>
      <c r="F9" s="295"/>
      <c r="G9" s="295"/>
      <c r="H9" s="295"/>
      <c r="I9" s="295"/>
      <c r="K9" s="246"/>
    </row>
    <row r="10" spans="1:13" s="50" customFormat="1" ht="23.25" customHeight="1" x14ac:dyDescent="0.2">
      <c r="A10" s="49"/>
      <c r="B10" s="295"/>
      <c r="C10" s="295"/>
      <c r="D10" s="295"/>
      <c r="E10" s="295"/>
      <c r="F10" s="295"/>
      <c r="G10" s="295"/>
      <c r="H10" s="295"/>
      <c r="I10" s="295"/>
      <c r="K10" s="246"/>
    </row>
    <row r="11" spans="1:13" s="50" customFormat="1" ht="12.75" customHeight="1" x14ac:dyDescent="0.2">
      <c r="K11" s="246"/>
    </row>
    <row r="12" spans="1:13" ht="21.75" customHeight="1" x14ac:dyDescent="0.2">
      <c r="A12" s="49" t="s">
        <v>57</v>
      </c>
      <c r="B12" s="244" t="s">
        <v>239</v>
      </c>
      <c r="C12" s="36"/>
      <c r="E12" s="39"/>
      <c r="F12" s="39"/>
    </row>
    <row r="13" spans="1:13" ht="17.25" customHeight="1" x14ac:dyDescent="0.2">
      <c r="B13" s="50"/>
      <c r="C13" s="39"/>
      <c r="D13" s="52"/>
      <c r="E13" s="52"/>
      <c r="F13" s="52"/>
      <c r="G13" s="226"/>
      <c r="I13" s="176" t="s">
        <v>200</v>
      </c>
    </row>
    <row r="14" spans="1:13" ht="22.5" customHeight="1" x14ac:dyDescent="0.2">
      <c r="B14" s="50"/>
      <c r="C14" s="39"/>
      <c r="D14" s="227" t="s">
        <v>25</v>
      </c>
      <c r="E14" s="39"/>
      <c r="F14" s="227">
        <v>1389</v>
      </c>
      <c r="G14" s="227">
        <v>1389</v>
      </c>
      <c r="H14" s="52"/>
      <c r="I14" s="227">
        <v>1388</v>
      </c>
      <c r="J14" s="227">
        <v>1388</v>
      </c>
      <c r="K14" s="247"/>
      <c r="L14" s="231"/>
      <c r="M14" s="248"/>
    </row>
    <row r="15" spans="1:13" ht="20.25" customHeight="1" x14ac:dyDescent="0.55000000000000004">
      <c r="B15" s="50"/>
      <c r="C15" s="39"/>
      <c r="D15" s="39"/>
      <c r="E15" s="39"/>
      <c r="F15" s="230" t="s">
        <v>132</v>
      </c>
      <c r="G15" s="230" t="s">
        <v>120</v>
      </c>
      <c r="H15" s="230"/>
      <c r="I15" s="230" t="s">
        <v>132</v>
      </c>
      <c r="J15" s="230" t="s">
        <v>120</v>
      </c>
    </row>
    <row r="16" spans="1:13" ht="20.25" customHeight="1" x14ac:dyDescent="0.55000000000000004">
      <c r="B16" s="201" t="s">
        <v>241</v>
      </c>
      <c r="C16" s="39"/>
      <c r="D16" s="245"/>
      <c r="E16" s="39"/>
      <c r="F16" s="124"/>
      <c r="G16" s="124"/>
      <c r="H16" s="230"/>
      <c r="I16" s="204"/>
      <c r="J16" s="204">
        <v>0</v>
      </c>
    </row>
    <row r="17" spans="2:10" ht="20.25" customHeight="1" x14ac:dyDescent="0.2">
      <c r="B17" s="37" t="s">
        <v>273</v>
      </c>
      <c r="C17" s="39"/>
      <c r="D17" s="203" t="s">
        <v>283</v>
      </c>
      <c r="E17" s="39"/>
      <c r="F17" s="53">
        <v>397</v>
      </c>
      <c r="G17" s="204"/>
      <c r="I17" s="204">
        <v>0</v>
      </c>
      <c r="J17" s="53">
        <v>178829316</v>
      </c>
    </row>
    <row r="18" spans="2:10" ht="21" customHeight="1" x14ac:dyDescent="0.55000000000000004">
      <c r="B18" s="37" t="s">
        <v>242</v>
      </c>
      <c r="C18" s="39"/>
      <c r="D18" s="39"/>
      <c r="E18" s="39"/>
      <c r="F18" s="124">
        <v>140</v>
      </c>
      <c r="G18" s="249"/>
      <c r="H18" s="37"/>
      <c r="I18" s="124">
        <v>140</v>
      </c>
      <c r="J18" s="53">
        <v>8254559</v>
      </c>
    </row>
    <row r="19" spans="2:10" ht="21" customHeight="1" x14ac:dyDescent="0.2">
      <c r="B19" s="50"/>
      <c r="C19" s="39"/>
      <c r="D19" s="39"/>
      <c r="E19" s="39"/>
      <c r="F19" s="202">
        <f>SUM(F16:F18)</f>
        <v>537</v>
      </c>
      <c r="G19" s="191">
        <f>SUM(G16:G18)</f>
        <v>0</v>
      </c>
      <c r="H19" s="37"/>
      <c r="I19" s="202">
        <f>SUM(I16:I18)</f>
        <v>140</v>
      </c>
      <c r="J19" s="191">
        <f>SUM(J16:J18)</f>
        <v>187083875</v>
      </c>
    </row>
    <row r="20" spans="2:10" ht="21" customHeight="1" x14ac:dyDescent="0.2">
      <c r="B20" s="201" t="s">
        <v>243</v>
      </c>
      <c r="C20" s="39"/>
      <c r="D20" s="39"/>
      <c r="E20" s="39"/>
      <c r="F20" s="53"/>
      <c r="G20" s="53"/>
      <c r="H20" s="37"/>
      <c r="I20" s="53"/>
      <c r="J20" s="53"/>
    </row>
    <row r="21" spans="2:10" ht="21" customHeight="1" x14ac:dyDescent="0.2">
      <c r="B21" s="50" t="s">
        <v>379</v>
      </c>
      <c r="C21" s="39"/>
      <c r="D21" s="203" t="s">
        <v>284</v>
      </c>
      <c r="E21" s="39"/>
      <c r="F21" s="53">
        <f>5667+121</f>
        <v>5788</v>
      </c>
      <c r="G21" s="53"/>
      <c r="H21" s="37"/>
      <c r="I21" s="53">
        <v>4493</v>
      </c>
      <c r="J21" s="53"/>
    </row>
    <row r="22" spans="2:10" ht="21" customHeight="1" x14ac:dyDescent="0.2">
      <c r="B22" s="50" t="s">
        <v>244</v>
      </c>
      <c r="C22" s="39"/>
      <c r="D22" s="39"/>
      <c r="E22" s="39"/>
      <c r="F22" s="53">
        <f>77</f>
        <v>77</v>
      </c>
      <c r="G22" s="192"/>
      <c r="H22" s="37"/>
      <c r="I22" s="256">
        <f>63-63</f>
        <v>0</v>
      </c>
      <c r="J22" s="204">
        <v>0</v>
      </c>
    </row>
    <row r="23" spans="2:10" ht="21" customHeight="1" x14ac:dyDescent="0.2">
      <c r="B23" s="50" t="s">
        <v>299</v>
      </c>
      <c r="C23" s="39"/>
      <c r="D23" s="39"/>
      <c r="E23" s="39"/>
      <c r="F23" s="53">
        <v>71</v>
      </c>
      <c r="G23" s="192"/>
      <c r="H23" s="37"/>
      <c r="I23" s="53">
        <f>29+96</f>
        <v>125</v>
      </c>
      <c r="J23" s="204"/>
    </row>
    <row r="24" spans="2:10" ht="21" customHeight="1" x14ac:dyDescent="0.2">
      <c r="B24" s="50" t="s">
        <v>245</v>
      </c>
      <c r="C24" s="39"/>
      <c r="D24" s="39"/>
      <c r="E24" s="39"/>
      <c r="F24" s="53">
        <f>65+176</f>
        <v>241</v>
      </c>
      <c r="G24" s="192"/>
      <c r="H24" s="37"/>
      <c r="I24" s="53">
        <f>176+69</f>
        <v>245</v>
      </c>
      <c r="J24" s="204"/>
    </row>
    <row r="25" spans="2:10" ht="21" customHeight="1" x14ac:dyDescent="0.2">
      <c r="B25" s="50"/>
      <c r="C25" s="39"/>
      <c r="D25" s="39"/>
      <c r="E25" s="39"/>
      <c r="F25" s="191">
        <f>SUM(F21:F24)</f>
        <v>6177</v>
      </c>
      <c r="G25" s="192"/>
      <c r="H25" s="37"/>
      <c r="I25" s="191">
        <f>SUM(I21:I24)</f>
        <v>4863</v>
      </c>
      <c r="J25" s="204"/>
    </row>
    <row r="26" spans="2:10" ht="21.75" customHeight="1" thickBot="1" x14ac:dyDescent="0.25">
      <c r="B26" s="50"/>
      <c r="C26" s="39"/>
      <c r="D26" s="39"/>
      <c r="E26" s="39"/>
      <c r="F26" s="210">
        <f>SUM(F19:F24)</f>
        <v>6714</v>
      </c>
      <c r="G26" s="40">
        <f>SUM(G19:G22)</f>
        <v>0</v>
      </c>
      <c r="H26" s="37"/>
      <c r="I26" s="210">
        <f>SUM(I19:I24)</f>
        <v>5003</v>
      </c>
      <c r="J26" s="40">
        <f>SUM(J19:J22)</f>
        <v>187083875</v>
      </c>
    </row>
    <row r="27" spans="2:10" ht="21" customHeight="1" thickTop="1" x14ac:dyDescent="0.2">
      <c r="B27" s="50" t="s">
        <v>288</v>
      </c>
      <c r="C27" s="39"/>
      <c r="D27" s="203" t="s">
        <v>284</v>
      </c>
      <c r="E27" s="39"/>
      <c r="F27" s="109">
        <v>-264</v>
      </c>
      <c r="G27" s="192"/>
      <c r="H27" s="37"/>
      <c r="I27" s="204">
        <v>0</v>
      </c>
      <c r="J27" s="204"/>
    </row>
    <row r="28" spans="2:10" ht="21" customHeight="1" thickBot="1" x14ac:dyDescent="0.25">
      <c r="B28" s="50"/>
      <c r="C28" s="39"/>
      <c r="D28" s="203"/>
      <c r="E28" s="39"/>
      <c r="F28" s="40">
        <f>SUM(F26:F27)</f>
        <v>6450</v>
      </c>
      <c r="G28" s="192"/>
      <c r="H28" s="37"/>
      <c r="I28" s="40">
        <f>SUM(I26:I27)</f>
        <v>5003</v>
      </c>
      <c r="J28" s="204"/>
    </row>
    <row r="29" spans="2:10" ht="12" customHeight="1" thickTop="1" x14ac:dyDescent="0.2">
      <c r="B29" s="50"/>
      <c r="C29" s="39"/>
      <c r="D29" s="203"/>
      <c r="E29" s="39"/>
      <c r="F29" s="109"/>
      <c r="G29" s="192"/>
      <c r="H29" s="37"/>
      <c r="I29" s="204"/>
      <c r="J29" s="204"/>
    </row>
    <row r="30" spans="2:10" ht="21.75" customHeight="1" x14ac:dyDescent="0.2">
      <c r="B30" s="295" t="s">
        <v>347</v>
      </c>
      <c r="C30" s="295"/>
      <c r="D30" s="295"/>
      <c r="E30" s="295"/>
      <c r="F30" s="295"/>
      <c r="G30" s="295"/>
      <c r="H30" s="295"/>
      <c r="I30" s="295"/>
      <c r="J30" s="38"/>
    </row>
    <row r="31" spans="2:10" ht="23.25" customHeight="1" x14ac:dyDescent="0.2">
      <c r="B31" s="295"/>
      <c r="C31" s="295"/>
      <c r="D31" s="295"/>
      <c r="E31" s="295"/>
      <c r="F31" s="295"/>
      <c r="G31" s="295"/>
      <c r="H31" s="295"/>
      <c r="I31" s="295"/>
      <c r="J31" s="38"/>
    </row>
    <row r="32" spans="2:10" ht="23.25" customHeight="1" x14ac:dyDescent="0.2">
      <c r="B32" s="295" t="s">
        <v>447</v>
      </c>
      <c r="C32" s="295"/>
      <c r="D32" s="295"/>
      <c r="E32" s="295"/>
      <c r="F32" s="295"/>
      <c r="G32" s="295"/>
      <c r="H32" s="295"/>
      <c r="I32" s="295"/>
      <c r="J32" s="38"/>
    </row>
    <row r="33" spans="1:10" ht="23.25" customHeight="1" x14ac:dyDescent="0.2">
      <c r="B33" s="295"/>
      <c r="C33" s="295"/>
      <c r="D33" s="295"/>
      <c r="E33" s="295"/>
      <c r="F33" s="295"/>
      <c r="G33" s="295"/>
      <c r="H33" s="295"/>
      <c r="I33" s="295"/>
      <c r="J33" s="38"/>
    </row>
    <row r="34" spans="1:10" ht="23.25" customHeight="1" x14ac:dyDescent="0.2">
      <c r="B34" s="39"/>
      <c r="C34" s="39"/>
      <c r="D34" s="39"/>
      <c r="E34" s="39"/>
      <c r="F34" s="39"/>
      <c r="G34" s="39"/>
      <c r="H34" s="39"/>
      <c r="I34" s="39"/>
      <c r="J34" s="38"/>
    </row>
    <row r="35" spans="1:10" x14ac:dyDescent="0.2">
      <c r="A35" s="294">
        <v>11</v>
      </c>
      <c r="B35" s="294"/>
      <c r="C35" s="294"/>
      <c r="D35" s="294"/>
      <c r="E35" s="294"/>
      <c r="F35" s="294"/>
      <c r="G35" s="294"/>
      <c r="H35" s="294"/>
      <c r="I35" s="294"/>
      <c r="J35" s="38"/>
    </row>
  </sheetData>
  <customSheetViews>
    <customSheetView guid="{77FE9A31-615C-11D9-8076-000F3DEC765A}" showRuler="0">
      <selection activeCell="I10" sqref="I10"/>
      <pageMargins left="0" right="0.55118110236220474" top="0.19685039370078741" bottom="0" header="0.51181102362204722" footer="0.51181102362204722"/>
      <pageSetup paperSize="9" orientation="portrait" r:id="rId1"/>
      <headerFooter alignWithMargins="0">
        <oddFooter>&amp;Cصفحه (12)</oddFooter>
      </headerFooter>
    </customSheetView>
    <customSheetView guid="{8BABEDE0-61D1-11D9-A0C2-0080AD86BB50}" showRuler="0">
      <selection activeCell="I10" sqref="I10"/>
      <pageMargins left="0" right="0.55118110236220474" top="0.19685039370078741" bottom="0" header="0.51181102362204722" footer="0.51181102362204722"/>
      <pageSetup paperSize="9" orientation="portrait" r:id="rId2"/>
      <headerFooter alignWithMargins="0">
        <oddFooter>&amp;Cصفحه (12)</oddFooter>
      </headerFooter>
    </customSheetView>
  </customSheetViews>
  <mergeCells count="4">
    <mergeCell ref="A35:I35"/>
    <mergeCell ref="B9:I10"/>
    <mergeCell ref="B30:I31"/>
    <mergeCell ref="B32:I33"/>
  </mergeCells>
  <phoneticPr fontId="0" type="noConversion"/>
  <printOptions horizontalCentered="1"/>
  <pageMargins left="0.59055118110236227" right="0.59055118110236227" top="1.5748031496062993" bottom="0.15748031496062992" header="0.39370078740157483" footer="0.27559055118110237"/>
  <pageSetup paperSize="9" fitToHeight="2" orientation="portrait"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rightToLeft="1" zoomScaleSheetLayoutView="100" workbookViewId="0">
      <selection activeCell="E10" sqref="E10"/>
    </sheetView>
  </sheetViews>
  <sheetFormatPr defaultRowHeight="22.5" x14ac:dyDescent="0.2"/>
  <cols>
    <col min="1" max="1" width="4.140625" style="5" customWidth="1"/>
    <col min="2" max="2" width="20" style="5" customWidth="1"/>
    <col min="3" max="3" width="1.7109375" style="5" customWidth="1"/>
    <col min="4" max="4" width="11.28515625" style="6" customWidth="1"/>
    <col min="5" max="5" width="15.5703125" style="6" hidden="1" customWidth="1"/>
    <col min="6" max="6" width="1.85546875" style="6" customWidth="1"/>
    <col min="7" max="7" width="11.42578125" style="7" customWidth="1"/>
    <col min="8" max="8" width="1.42578125" style="7" customWidth="1"/>
    <col min="9" max="9" width="10.42578125" style="5" hidden="1" customWidth="1"/>
    <col min="10" max="10" width="1.85546875" style="5" hidden="1" customWidth="1"/>
    <col min="11" max="11" width="11.42578125" style="5" hidden="1" customWidth="1"/>
    <col min="12" max="12" width="15.5703125" style="5" hidden="1" customWidth="1"/>
    <col min="13" max="13" width="1.7109375" style="5" hidden="1" customWidth="1"/>
    <col min="14" max="14" width="10.7109375" style="5" customWidth="1"/>
    <col min="15" max="15" width="15.5703125" style="5" hidden="1" customWidth="1"/>
    <col min="16" max="16" width="1.7109375" style="5" customWidth="1"/>
    <col min="17" max="17" width="11.28515625" style="5" customWidth="1"/>
    <col min="18" max="18" width="14.28515625" style="5" hidden="1" customWidth="1"/>
    <col min="19" max="19" width="1.85546875" style="5" customWidth="1"/>
    <col min="20" max="20" width="9.5703125" style="5" customWidth="1"/>
    <col min="21" max="21" width="14.28515625" style="5" hidden="1" customWidth="1"/>
    <col min="22" max="22" width="1.7109375" style="5" customWidth="1"/>
    <col min="23" max="24" width="12.140625" style="5" hidden="1" customWidth="1"/>
    <col min="25" max="25" width="1.7109375" style="5" hidden="1" customWidth="1"/>
    <col min="26" max="27" width="11" style="5" hidden="1" customWidth="1"/>
    <col min="28" max="28" width="1.7109375" style="5" hidden="1" customWidth="1"/>
    <col min="29" max="29" width="10.5703125" style="5" customWidth="1"/>
    <col min="30" max="30" width="14.28515625" style="5" hidden="1" customWidth="1"/>
    <col min="31" max="31" width="1.5703125" style="5" customWidth="1"/>
    <col min="32" max="32" width="9.5703125" style="5" customWidth="1"/>
    <col min="33" max="33" width="15.5703125" style="5" hidden="1" customWidth="1"/>
    <col min="34" max="34" width="1.5703125" style="5" customWidth="1"/>
    <col min="35" max="35" width="11.42578125" style="9" customWidth="1"/>
    <col min="36" max="36" width="14.28515625" style="24" hidden="1" customWidth="1"/>
    <col min="37" max="16384" width="9.140625" style="9"/>
  </cols>
  <sheetData>
    <row r="1" spans="1:36" ht="24" customHeight="1" x14ac:dyDescent="0.55000000000000004">
      <c r="A1" s="25" t="s">
        <v>286</v>
      </c>
      <c r="B1" s="14" t="s">
        <v>74</v>
      </c>
      <c r="C1" s="14"/>
      <c r="D1" s="13"/>
      <c r="E1" s="13"/>
      <c r="F1" s="13"/>
      <c r="G1" s="8"/>
      <c r="H1" s="8"/>
      <c r="I1" s="9"/>
      <c r="J1" s="9"/>
      <c r="K1" s="9"/>
      <c r="L1" s="9"/>
      <c r="M1" s="9"/>
      <c r="Q1" s="26"/>
      <c r="R1" s="26"/>
      <c r="S1" s="26"/>
    </row>
    <row r="2" spans="1:36" ht="9" customHeight="1" x14ac:dyDescent="0.45">
      <c r="A2" s="9"/>
      <c r="B2" s="15"/>
      <c r="C2" s="15"/>
      <c r="D2" s="15"/>
      <c r="E2" s="15"/>
      <c r="F2" s="15"/>
      <c r="G2" s="8"/>
      <c r="H2" s="8"/>
      <c r="I2" s="9"/>
      <c r="J2" s="9"/>
      <c r="K2" s="9"/>
      <c r="L2" s="9"/>
      <c r="M2" s="9"/>
    </row>
    <row r="3" spans="1:36" s="22" customFormat="1" ht="21" customHeight="1" x14ac:dyDescent="0.2">
      <c r="B3" s="54"/>
      <c r="C3" s="54"/>
      <c r="D3" s="296" t="s">
        <v>221</v>
      </c>
      <c r="E3" s="296"/>
      <c r="F3" s="296"/>
      <c r="G3" s="296"/>
      <c r="H3" s="296"/>
      <c r="I3" s="296"/>
      <c r="J3" s="296"/>
      <c r="K3" s="296"/>
      <c r="L3" s="296"/>
      <c r="M3" s="296"/>
      <c r="N3" s="296"/>
      <c r="O3" s="56"/>
      <c r="P3" s="56"/>
      <c r="Q3" s="296" t="s">
        <v>222</v>
      </c>
      <c r="R3" s="296"/>
      <c r="S3" s="296"/>
      <c r="T3" s="296"/>
      <c r="U3" s="296"/>
      <c r="V3" s="296"/>
      <c r="W3" s="296"/>
      <c r="X3" s="296"/>
      <c r="Y3" s="296"/>
      <c r="Z3" s="296"/>
      <c r="AA3" s="296"/>
      <c r="AB3" s="296"/>
      <c r="AC3" s="296"/>
      <c r="AD3" s="56"/>
      <c r="AE3" s="56"/>
      <c r="AF3" s="297" t="s">
        <v>223</v>
      </c>
      <c r="AG3" s="297"/>
      <c r="AH3" s="297"/>
      <c r="AI3" s="297"/>
      <c r="AJ3" s="56"/>
    </row>
    <row r="4" spans="1:36" s="22" customFormat="1" ht="88.5" customHeight="1" x14ac:dyDescent="0.2">
      <c r="B4" s="55" t="s">
        <v>31</v>
      </c>
      <c r="C4" s="56"/>
      <c r="D4" s="55" t="s">
        <v>113</v>
      </c>
      <c r="E4" s="56"/>
      <c r="F4" s="56"/>
      <c r="G4" s="175" t="s">
        <v>109</v>
      </c>
      <c r="H4" s="56"/>
      <c r="I4" s="55" t="s">
        <v>110</v>
      </c>
      <c r="J4" s="56"/>
      <c r="K4" s="55" t="s">
        <v>228</v>
      </c>
      <c r="L4" s="56"/>
      <c r="M4" s="56"/>
      <c r="N4" s="55" t="s">
        <v>112</v>
      </c>
      <c r="O4" s="56"/>
      <c r="P4" s="56"/>
      <c r="Q4" s="55" t="s">
        <v>113</v>
      </c>
      <c r="R4" s="56"/>
      <c r="S4" s="56"/>
      <c r="T4" s="55" t="s">
        <v>114</v>
      </c>
      <c r="U4" s="56"/>
      <c r="V4" s="56"/>
      <c r="W4" s="55" t="s">
        <v>115</v>
      </c>
      <c r="X4" s="56"/>
      <c r="Y4" s="56"/>
      <c r="Z4" s="55" t="s">
        <v>111</v>
      </c>
      <c r="AA4" s="56"/>
      <c r="AB4" s="56"/>
      <c r="AC4" s="55" t="s">
        <v>112</v>
      </c>
      <c r="AD4" s="56"/>
      <c r="AE4" s="56"/>
      <c r="AF4" s="57">
        <v>1389</v>
      </c>
      <c r="AG4" s="56"/>
      <c r="AH4" s="56"/>
      <c r="AI4" s="57">
        <v>1388</v>
      </c>
      <c r="AJ4" s="56"/>
    </row>
    <row r="5" spans="1:36" x14ac:dyDescent="0.55000000000000004">
      <c r="A5" s="9"/>
      <c r="B5" s="31" t="s">
        <v>100</v>
      </c>
      <c r="C5" s="31"/>
      <c r="D5" s="45">
        <v>941</v>
      </c>
      <c r="E5" s="45"/>
      <c r="F5" s="45"/>
      <c r="G5" s="183">
        <v>0</v>
      </c>
      <c r="H5" s="45"/>
      <c r="I5" s="183"/>
      <c r="J5" s="45"/>
      <c r="K5" s="183"/>
      <c r="L5" s="183">
        <v>0</v>
      </c>
      <c r="M5" s="45"/>
      <c r="N5" s="45">
        <f t="shared" ref="N5:N11" si="0">D5+G5-I5+K5</f>
        <v>941</v>
      </c>
      <c r="O5" s="45" t="e">
        <f>E5+#REF!+L5</f>
        <v>#REF!</v>
      </c>
      <c r="P5" s="45"/>
      <c r="Q5" s="183">
        <v>0</v>
      </c>
      <c r="R5" s="183"/>
      <c r="S5" s="45"/>
      <c r="T5" s="183">
        <v>0</v>
      </c>
      <c r="U5" s="183">
        <v>0</v>
      </c>
      <c r="V5" s="45"/>
      <c r="W5" s="45">
        <f t="shared" ref="W5:W12" si="1">X5/1000000</f>
        <v>0</v>
      </c>
      <c r="X5" s="45"/>
      <c r="Y5" s="45"/>
      <c r="Z5" s="45">
        <f t="shared" ref="Z5:Z12" si="2">AA5/1000000</f>
        <v>0</v>
      </c>
      <c r="AA5" s="45"/>
      <c r="AB5" s="45"/>
      <c r="AC5" s="183">
        <f t="shared" ref="AC5:AC11" si="3">Q5+T5</f>
        <v>0</v>
      </c>
      <c r="AD5" s="183">
        <v>0</v>
      </c>
      <c r="AE5" s="45"/>
      <c r="AF5" s="45">
        <f t="shared" ref="AF5:AG11" si="4">N5-AC5</f>
        <v>941</v>
      </c>
      <c r="AG5" s="45" t="e">
        <f t="shared" si="4"/>
        <v>#REF!</v>
      </c>
      <c r="AH5" s="45"/>
      <c r="AI5" s="45">
        <f t="shared" ref="AI5:AJ10" si="5">D5-Q5</f>
        <v>941</v>
      </c>
      <c r="AJ5" s="45">
        <f t="shared" si="5"/>
        <v>0</v>
      </c>
    </row>
    <row r="6" spans="1:36" x14ac:dyDescent="0.55000000000000004">
      <c r="A6" s="9"/>
      <c r="B6" s="31" t="s">
        <v>101</v>
      </c>
      <c r="C6" s="31"/>
      <c r="D6" s="45">
        <v>3869</v>
      </c>
      <c r="E6" s="45"/>
      <c r="F6" s="45"/>
      <c r="G6" s="183">
        <v>0</v>
      </c>
      <c r="H6" s="45"/>
      <c r="I6" s="183"/>
      <c r="J6" s="45"/>
      <c r="K6" s="45"/>
      <c r="L6" s="45">
        <f>1595843168+134085048</f>
        <v>1729928216</v>
      </c>
      <c r="M6" s="45"/>
      <c r="N6" s="45">
        <f t="shared" si="0"/>
        <v>3869</v>
      </c>
      <c r="O6" s="45" t="e">
        <f>E6+#REF!+L6</f>
        <v>#REF!</v>
      </c>
      <c r="P6" s="45"/>
      <c r="Q6" s="45">
        <v>2013</v>
      </c>
      <c r="R6" s="45"/>
      <c r="S6" s="45"/>
      <c r="T6" s="45">
        <v>26</v>
      </c>
      <c r="U6" s="45">
        <v>192169365</v>
      </c>
      <c r="V6" s="45"/>
      <c r="W6" s="45">
        <f t="shared" si="1"/>
        <v>0</v>
      </c>
      <c r="X6" s="45"/>
      <c r="Y6" s="45"/>
      <c r="Z6" s="45">
        <f t="shared" si="2"/>
        <v>0</v>
      </c>
      <c r="AA6" s="45"/>
      <c r="AB6" s="45"/>
      <c r="AC6" s="74">
        <f t="shared" si="3"/>
        <v>2039</v>
      </c>
      <c r="AD6" s="45">
        <f>R6+U6+X6+AA6</f>
        <v>192169365</v>
      </c>
      <c r="AE6" s="45"/>
      <c r="AF6" s="45">
        <f t="shared" si="4"/>
        <v>1830</v>
      </c>
      <c r="AG6" s="45" t="e">
        <f t="shared" si="4"/>
        <v>#REF!</v>
      </c>
      <c r="AH6" s="45"/>
      <c r="AI6" s="45">
        <f t="shared" si="5"/>
        <v>1856</v>
      </c>
      <c r="AJ6" s="45">
        <f t="shared" si="5"/>
        <v>0</v>
      </c>
    </row>
    <row r="7" spans="1:36" x14ac:dyDescent="0.55000000000000004">
      <c r="A7" s="9"/>
      <c r="B7" s="31" t="s">
        <v>32</v>
      </c>
      <c r="C7" s="31"/>
      <c r="D7" s="45">
        <v>586</v>
      </c>
      <c r="E7" s="45"/>
      <c r="F7" s="45"/>
      <c r="G7" s="45">
        <v>16</v>
      </c>
      <c r="H7" s="45"/>
      <c r="I7" s="183"/>
      <c r="J7" s="45"/>
      <c r="K7" s="45"/>
      <c r="L7" s="183">
        <v>0</v>
      </c>
      <c r="M7" s="45"/>
      <c r="N7" s="45">
        <f t="shared" si="0"/>
        <v>602</v>
      </c>
      <c r="O7" s="45" t="e">
        <f>E7+#REF!+L7</f>
        <v>#REF!</v>
      </c>
      <c r="P7" s="45"/>
      <c r="Q7" s="45">
        <v>334</v>
      </c>
      <c r="R7" s="45"/>
      <c r="S7" s="45"/>
      <c r="T7" s="45">
        <v>6</v>
      </c>
      <c r="U7" s="45">
        <v>37988409</v>
      </c>
      <c r="V7" s="45"/>
      <c r="W7" s="45">
        <f t="shared" si="1"/>
        <v>0</v>
      </c>
      <c r="X7" s="45"/>
      <c r="Y7" s="45"/>
      <c r="Z7" s="45">
        <f t="shared" si="2"/>
        <v>0</v>
      </c>
      <c r="AA7" s="45"/>
      <c r="AB7" s="45"/>
      <c r="AC7" s="74">
        <f t="shared" si="3"/>
        <v>340</v>
      </c>
      <c r="AD7" s="45">
        <f>R7+U7+X7+AA7</f>
        <v>37988409</v>
      </c>
      <c r="AE7" s="45"/>
      <c r="AF7" s="45">
        <f t="shared" si="4"/>
        <v>262</v>
      </c>
      <c r="AG7" s="45" t="e">
        <f t="shared" si="4"/>
        <v>#REF!</v>
      </c>
      <c r="AH7" s="45"/>
      <c r="AI7" s="45">
        <f t="shared" si="5"/>
        <v>252</v>
      </c>
      <c r="AJ7" s="45">
        <f t="shared" si="5"/>
        <v>0</v>
      </c>
    </row>
    <row r="8" spans="1:36" x14ac:dyDescent="0.55000000000000004">
      <c r="A8" s="9"/>
      <c r="B8" s="31" t="s">
        <v>116</v>
      </c>
      <c r="C8" s="31"/>
      <c r="D8" s="45">
        <f>53586+43</f>
        <v>53629</v>
      </c>
      <c r="E8" s="45"/>
      <c r="F8" s="45"/>
      <c r="G8" s="45">
        <f>521+370+26</f>
        <v>917</v>
      </c>
      <c r="H8" s="45"/>
      <c r="I8" s="45"/>
      <c r="J8" s="45"/>
      <c r="K8" s="183"/>
      <c r="L8" s="45">
        <f>103464450+513192962+7009317988</f>
        <v>7625975400</v>
      </c>
      <c r="M8" s="45"/>
      <c r="N8" s="45">
        <f t="shared" si="0"/>
        <v>54546</v>
      </c>
      <c r="O8" s="45" t="e">
        <f>E8+#REF!+L8</f>
        <v>#REF!</v>
      </c>
      <c r="P8" s="45"/>
      <c r="Q8" s="45">
        <f>43+135+19082</f>
        <v>19260</v>
      </c>
      <c r="R8" s="45"/>
      <c r="S8" s="45"/>
      <c r="T8" s="45">
        <f>7+4830</f>
        <v>4837</v>
      </c>
      <c r="U8" s="45">
        <f>810702776+8304214+275000</f>
        <v>819281990</v>
      </c>
      <c r="V8" s="45"/>
      <c r="W8" s="45">
        <f t="shared" si="1"/>
        <v>0</v>
      </c>
      <c r="X8" s="45"/>
      <c r="Y8" s="45"/>
      <c r="Z8" s="45">
        <f t="shared" si="2"/>
        <v>0</v>
      </c>
      <c r="AA8" s="45"/>
      <c r="AB8" s="45"/>
      <c r="AC8" s="74">
        <f t="shared" si="3"/>
        <v>24097</v>
      </c>
      <c r="AD8" s="45">
        <f>R8+U8+X8+AA8</f>
        <v>819281990</v>
      </c>
      <c r="AE8" s="45"/>
      <c r="AF8" s="45">
        <f t="shared" si="4"/>
        <v>30449</v>
      </c>
      <c r="AG8" s="45" t="e">
        <f t="shared" si="4"/>
        <v>#REF!</v>
      </c>
      <c r="AH8" s="45"/>
      <c r="AI8" s="45">
        <f t="shared" si="5"/>
        <v>34369</v>
      </c>
      <c r="AJ8" s="45">
        <f t="shared" si="5"/>
        <v>0</v>
      </c>
    </row>
    <row r="9" spans="1:36" x14ac:dyDescent="0.55000000000000004">
      <c r="A9" s="9"/>
      <c r="B9" s="31" t="s">
        <v>117</v>
      </c>
      <c r="C9" s="31"/>
      <c r="D9" s="45">
        <f>464-50</f>
        <v>414</v>
      </c>
      <c r="E9" s="45"/>
      <c r="F9" s="45"/>
      <c r="G9" s="45">
        <f>254-17-8-145</f>
        <v>84</v>
      </c>
      <c r="H9" s="45"/>
      <c r="I9" s="183"/>
      <c r="J9" s="45"/>
      <c r="K9" s="183"/>
      <c r="L9" s="183">
        <v>0</v>
      </c>
      <c r="M9" s="45"/>
      <c r="N9" s="45">
        <f t="shared" si="0"/>
        <v>498</v>
      </c>
      <c r="O9" s="45" t="e">
        <f>E9+#REF!+L9</f>
        <v>#REF!</v>
      </c>
      <c r="P9" s="45"/>
      <c r="Q9" s="45">
        <f>446-41</f>
        <v>405</v>
      </c>
      <c r="R9" s="45"/>
      <c r="S9" s="45"/>
      <c r="T9" s="45">
        <f>20-5</f>
        <v>15</v>
      </c>
      <c r="U9" s="45">
        <v>12126208</v>
      </c>
      <c r="V9" s="45"/>
      <c r="W9" s="45">
        <f t="shared" si="1"/>
        <v>0</v>
      </c>
      <c r="X9" s="45"/>
      <c r="Y9" s="45"/>
      <c r="Z9" s="45">
        <f t="shared" si="2"/>
        <v>0</v>
      </c>
      <c r="AA9" s="45"/>
      <c r="AB9" s="45"/>
      <c r="AC9" s="74">
        <f t="shared" si="3"/>
        <v>420</v>
      </c>
      <c r="AD9" s="45">
        <f>R9+U9+X9+AA9</f>
        <v>12126208</v>
      </c>
      <c r="AE9" s="45"/>
      <c r="AF9" s="45">
        <f t="shared" si="4"/>
        <v>78</v>
      </c>
      <c r="AG9" s="45" t="e">
        <f t="shared" si="4"/>
        <v>#REF!</v>
      </c>
      <c r="AH9" s="45"/>
      <c r="AI9" s="45">
        <f t="shared" si="5"/>
        <v>9</v>
      </c>
      <c r="AJ9" s="45">
        <f t="shared" si="5"/>
        <v>0</v>
      </c>
    </row>
    <row r="10" spans="1:36" ht="21.75" customHeight="1" x14ac:dyDescent="0.55000000000000004">
      <c r="A10" s="9"/>
      <c r="B10" s="31" t="s">
        <v>118</v>
      </c>
      <c r="C10" s="31"/>
      <c r="D10" s="45">
        <v>142</v>
      </c>
      <c r="E10" s="45"/>
      <c r="F10" s="45"/>
      <c r="G10" s="183">
        <v>0</v>
      </c>
      <c r="H10" s="45"/>
      <c r="I10" s="183"/>
      <c r="J10" s="45"/>
      <c r="K10" s="183"/>
      <c r="L10" s="45"/>
      <c r="M10" s="45"/>
      <c r="N10" s="45">
        <f t="shared" si="0"/>
        <v>142</v>
      </c>
      <c r="O10" s="45"/>
      <c r="P10" s="45"/>
      <c r="Q10" s="45">
        <v>129</v>
      </c>
      <c r="R10" s="45"/>
      <c r="S10" s="45"/>
      <c r="T10" s="45">
        <v>9</v>
      </c>
      <c r="U10" s="45"/>
      <c r="V10" s="45"/>
      <c r="W10" s="58">
        <f t="shared" si="1"/>
        <v>0</v>
      </c>
      <c r="X10" s="45"/>
      <c r="Y10" s="45"/>
      <c r="Z10" s="58">
        <f t="shared" si="2"/>
        <v>0</v>
      </c>
      <c r="AA10" s="45"/>
      <c r="AB10" s="45"/>
      <c r="AC10" s="74">
        <f t="shared" si="3"/>
        <v>138</v>
      </c>
      <c r="AD10" s="45">
        <f>R10+U10+X10+AA10</f>
        <v>0</v>
      </c>
      <c r="AE10" s="45"/>
      <c r="AF10" s="45">
        <f t="shared" si="4"/>
        <v>4</v>
      </c>
      <c r="AG10" s="45">
        <f>O10-AD10</f>
        <v>0</v>
      </c>
      <c r="AH10" s="45"/>
      <c r="AI10" s="45">
        <f t="shared" si="5"/>
        <v>13</v>
      </c>
      <c r="AJ10" s="45">
        <f t="shared" si="5"/>
        <v>0</v>
      </c>
    </row>
    <row r="11" spans="1:36" ht="21.75" customHeight="1" x14ac:dyDescent="0.55000000000000004">
      <c r="A11" s="9"/>
      <c r="B11" s="31" t="s">
        <v>285</v>
      </c>
      <c r="C11" s="31"/>
      <c r="D11" s="58">
        <f>155-43</f>
        <v>112</v>
      </c>
      <c r="E11" s="45"/>
      <c r="F11" s="45"/>
      <c r="G11" s="183">
        <v>0</v>
      </c>
      <c r="H11" s="45"/>
      <c r="I11" s="183"/>
      <c r="J11" s="45"/>
      <c r="K11" s="183"/>
      <c r="L11" s="45"/>
      <c r="M11" s="45"/>
      <c r="N11" s="45">
        <f t="shared" si="0"/>
        <v>112</v>
      </c>
      <c r="O11" s="45"/>
      <c r="P11" s="45"/>
      <c r="Q11" s="58">
        <f>290-43-135</f>
        <v>112</v>
      </c>
      <c r="R11" s="45"/>
      <c r="S11" s="45"/>
      <c r="T11" s="187">
        <v>0</v>
      </c>
      <c r="U11" s="45"/>
      <c r="V11" s="45"/>
      <c r="W11" s="45"/>
      <c r="X11" s="45"/>
      <c r="Y11" s="45"/>
      <c r="Z11" s="45"/>
      <c r="AA11" s="45"/>
      <c r="AB11" s="45"/>
      <c r="AC11" s="74">
        <f t="shared" si="3"/>
        <v>112</v>
      </c>
      <c r="AD11" s="45"/>
      <c r="AE11" s="45"/>
      <c r="AF11" s="183">
        <f t="shared" si="4"/>
        <v>0</v>
      </c>
      <c r="AG11" s="45"/>
      <c r="AH11" s="45"/>
      <c r="AI11" s="183">
        <f>D11-Q11</f>
        <v>0</v>
      </c>
      <c r="AJ11" s="45"/>
    </row>
    <row r="12" spans="1:36" s="5" customFormat="1" x14ac:dyDescent="0.55000000000000004">
      <c r="A12" s="9"/>
      <c r="B12" s="31"/>
      <c r="C12" s="31"/>
      <c r="D12" s="184">
        <f>SUM(D5:D11)</f>
        <v>59693</v>
      </c>
      <c r="E12" s="184">
        <f>SUM(E5:E10)</f>
        <v>0</v>
      </c>
      <c r="F12" s="45"/>
      <c r="G12" s="184">
        <f>SUM(G5:G10)</f>
        <v>1017</v>
      </c>
      <c r="H12" s="45"/>
      <c r="I12" s="261">
        <f>SUM(I5:I10)</f>
        <v>0</v>
      </c>
      <c r="J12" s="45"/>
      <c r="K12" s="261">
        <f>SUM(K5:K10)</f>
        <v>0</v>
      </c>
      <c r="L12" s="184">
        <f>SUM(L5:L10)</f>
        <v>9355903616</v>
      </c>
      <c r="M12" s="45"/>
      <c r="N12" s="184">
        <f>SUM(N5:N11)</f>
        <v>60710</v>
      </c>
      <c r="O12" s="184" t="e">
        <f>SUM(O5:O10)</f>
        <v>#REF!</v>
      </c>
      <c r="P12" s="45"/>
      <c r="Q12" s="45">
        <f>SUM(Q5:Q11)</f>
        <v>22253</v>
      </c>
      <c r="R12" s="45">
        <f>SUM(R5:R10)</f>
        <v>0</v>
      </c>
      <c r="S12" s="45"/>
      <c r="T12" s="45">
        <f>SUM(T5:T11)</f>
        <v>4893</v>
      </c>
      <c r="U12" s="45">
        <f>SUM(U5:U10)</f>
        <v>1061565972</v>
      </c>
      <c r="V12" s="45"/>
      <c r="W12" s="45">
        <f t="shared" si="1"/>
        <v>0</v>
      </c>
      <c r="X12" s="45">
        <f>SUM(X5:X10)</f>
        <v>0</v>
      </c>
      <c r="Y12" s="45"/>
      <c r="Z12" s="45">
        <f t="shared" si="2"/>
        <v>0</v>
      </c>
      <c r="AA12" s="45">
        <f>SUM(AA5:AA10)</f>
        <v>0</v>
      </c>
      <c r="AB12" s="45"/>
      <c r="AC12" s="184">
        <f>SUM(AC5:AC11)</f>
        <v>27146</v>
      </c>
      <c r="AD12" s="45">
        <f>SUM(AD5:AD10)</f>
        <v>1061565972</v>
      </c>
      <c r="AE12" s="45"/>
      <c r="AF12" s="184">
        <f>SUM(AF5:AF10)</f>
        <v>33564</v>
      </c>
      <c r="AG12" s="45" t="e">
        <f>SUM(AG5:AG10)</f>
        <v>#REF!</v>
      </c>
      <c r="AH12" s="45"/>
      <c r="AI12" s="184">
        <f>SUM(AI5:AI11)</f>
        <v>37440</v>
      </c>
      <c r="AJ12" s="45">
        <f>SUM(AJ5:AJ10)</f>
        <v>0</v>
      </c>
    </row>
    <row r="13" spans="1:36" x14ac:dyDescent="0.55000000000000004">
      <c r="A13" s="9"/>
      <c r="B13" s="31" t="s">
        <v>142</v>
      </c>
      <c r="C13" s="31"/>
      <c r="D13" s="183">
        <v>0</v>
      </c>
      <c r="E13" s="45"/>
      <c r="F13" s="45"/>
      <c r="G13" s="45">
        <v>135</v>
      </c>
      <c r="H13" s="45"/>
      <c r="I13" s="183">
        <v>0</v>
      </c>
      <c r="J13" s="45"/>
      <c r="K13" s="183">
        <v>0</v>
      </c>
      <c r="L13" s="74">
        <f>-(7009317988)</f>
        <v>-7009317988</v>
      </c>
      <c r="M13" s="59"/>
      <c r="N13" s="45">
        <f>D13+G13+K13</f>
        <v>135</v>
      </c>
      <c r="O13" s="45" t="e">
        <f>E13+#REF!+L13</f>
        <v>#REF!</v>
      </c>
      <c r="P13" s="45"/>
      <c r="Q13" s="60"/>
      <c r="R13" s="60"/>
      <c r="S13" s="60"/>
      <c r="T13" s="60"/>
      <c r="U13" s="60"/>
      <c r="V13" s="60"/>
      <c r="W13" s="60"/>
      <c r="X13" s="60"/>
      <c r="Y13" s="60"/>
      <c r="Z13" s="60"/>
      <c r="AA13" s="60"/>
      <c r="AB13" s="60"/>
      <c r="AC13" s="60"/>
      <c r="AD13" s="60"/>
      <c r="AE13" s="45"/>
      <c r="AF13" s="45">
        <f>N13-AC13</f>
        <v>135</v>
      </c>
      <c r="AG13" s="45" t="e">
        <f>O13-AD13</f>
        <v>#REF!</v>
      </c>
      <c r="AH13" s="45"/>
      <c r="AI13" s="183">
        <f>D13-Q13</f>
        <v>0</v>
      </c>
      <c r="AJ13" s="45">
        <f>E13-R13</f>
        <v>0</v>
      </c>
    </row>
    <row r="14" spans="1:36" s="5" customFormat="1" ht="23.25" thickBot="1" x14ac:dyDescent="0.6">
      <c r="A14" s="9"/>
      <c r="B14" s="31"/>
      <c r="C14" s="31"/>
      <c r="D14" s="46">
        <f>SUM(D12:D13)</f>
        <v>59693</v>
      </c>
      <c r="E14" s="45">
        <f>SUM(E12:E13)</f>
        <v>0</v>
      </c>
      <c r="F14" s="45"/>
      <c r="G14" s="46">
        <f>SUM(G12:G13)</f>
        <v>1152</v>
      </c>
      <c r="H14" s="45"/>
      <c r="I14" s="196">
        <f>SUM(I12:I13)</f>
        <v>0</v>
      </c>
      <c r="J14" s="45"/>
      <c r="K14" s="196">
        <f>SUM(K12:K13)</f>
        <v>0</v>
      </c>
      <c r="L14" s="45">
        <f>SUM(L12:L13)</f>
        <v>2346585628</v>
      </c>
      <c r="M14" s="45"/>
      <c r="N14" s="46">
        <f>SUM(N12:N13)</f>
        <v>60845</v>
      </c>
      <c r="O14" s="45" t="e">
        <f>SUM(O12:O13)</f>
        <v>#REF!</v>
      </c>
      <c r="P14" s="45"/>
      <c r="Q14" s="46">
        <f>SUM(Q12:Q13)</f>
        <v>22253</v>
      </c>
      <c r="R14" s="45">
        <f>SUM(R12:R13)</f>
        <v>0</v>
      </c>
      <c r="S14" s="45"/>
      <c r="T14" s="46">
        <f>SUM(T12:T13)</f>
        <v>4893</v>
      </c>
      <c r="U14" s="45">
        <f>SUM(U12:U13)</f>
        <v>1061565972</v>
      </c>
      <c r="V14" s="45"/>
      <c r="W14" s="46">
        <f>X14/1000000</f>
        <v>0</v>
      </c>
      <c r="X14" s="45">
        <f>SUM(X12:X13)</f>
        <v>0</v>
      </c>
      <c r="Y14" s="45"/>
      <c r="Z14" s="46">
        <f>AA14/1000000</f>
        <v>0</v>
      </c>
      <c r="AA14" s="45">
        <f>SUM(AA12:AA13)</f>
        <v>0</v>
      </c>
      <c r="AB14" s="45"/>
      <c r="AC14" s="46">
        <f>SUM(AC12:AC13)</f>
        <v>27146</v>
      </c>
      <c r="AD14" s="45">
        <f>SUM(AD12:AD13)</f>
        <v>1061565972</v>
      </c>
      <c r="AE14" s="45"/>
      <c r="AF14" s="46">
        <f>SUM(AF12:AF13)</f>
        <v>33699</v>
      </c>
      <c r="AG14" s="45" t="e">
        <f>SUM(AG12:AG13)</f>
        <v>#REF!</v>
      </c>
      <c r="AH14" s="45"/>
      <c r="AI14" s="46">
        <f>SUM(AI12:AI13)</f>
        <v>37440</v>
      </c>
      <c r="AJ14" s="45">
        <f>SUM(AJ12:AJ13)</f>
        <v>0</v>
      </c>
    </row>
    <row r="15" spans="1:36" ht="23.25" thickTop="1" x14ac:dyDescent="0.45">
      <c r="A15" s="9"/>
      <c r="B15" s="15"/>
      <c r="C15" s="15"/>
      <c r="D15" s="8"/>
      <c r="E15" s="8"/>
      <c r="F15" s="8"/>
      <c r="G15" s="8"/>
      <c r="H15" s="8"/>
      <c r="I15" s="9"/>
      <c r="J15" s="9"/>
      <c r="K15" s="9"/>
      <c r="L15" s="9"/>
      <c r="M15" s="9"/>
      <c r="N15" s="12"/>
      <c r="O15" s="12"/>
      <c r="P15" s="12"/>
      <c r="T15" s="12"/>
      <c r="U15" s="12"/>
      <c r="V15" s="12"/>
      <c r="AC15" s="12"/>
      <c r="AD15" s="12"/>
      <c r="AE15" s="12"/>
      <c r="AF15" s="12"/>
      <c r="AG15" s="12"/>
      <c r="AH15" s="12"/>
    </row>
    <row r="16" spans="1:36" x14ac:dyDescent="0.2">
      <c r="A16" s="9"/>
      <c r="B16" s="299" t="s">
        <v>333</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row>
    <row r="17" spans="1:36" s="10" customFormat="1" x14ac:dyDescent="0.55000000000000004">
      <c r="B17" s="290" t="s">
        <v>334</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1"/>
    </row>
    <row r="18" spans="1:36" s="10" customFormat="1" x14ac:dyDescent="0.55000000000000004">
      <c r="B18" s="290" t="s">
        <v>348</v>
      </c>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1"/>
    </row>
    <row r="19" spans="1:36" s="10" customFormat="1" x14ac:dyDescent="0.55000000000000004">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21"/>
    </row>
    <row r="20" spans="1:36" s="10" customFormat="1" x14ac:dyDescent="0.55000000000000004">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21"/>
    </row>
    <row r="21" spans="1:36" x14ac:dyDescent="0.55000000000000004">
      <c r="A21" s="298" t="s">
        <v>307</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48"/>
    </row>
  </sheetData>
  <customSheetViews>
    <customSheetView guid="{77FE9A31-615C-11D9-8076-000F3DEC765A}" showPageBreaks="1" fitToPage="1" showRuler="0" topLeftCell="A5">
      <selection activeCell="B10" sqref="B10"/>
      <pageMargins left="0" right="0" top="0.19685039370078741" bottom="0" header="0.51181102362204722" footer="0.51181102362204722"/>
      <pageSetup paperSize="9" scale="91" orientation="landscape" r:id="rId1"/>
      <headerFooter alignWithMargins="0">
        <oddFooter>&amp;Cصفحه (17)</oddFooter>
      </headerFooter>
    </customSheetView>
    <customSheetView guid="{8BABEDE0-61D1-11D9-A0C2-0080AD86BB50}" fitToPage="1" showRuler="0" topLeftCell="A5">
      <selection activeCell="B10" sqref="B10"/>
      <pageMargins left="0" right="0" top="0.19685039370078741" bottom="0" header="0.51181102362204722" footer="0.51181102362204722"/>
      <pageSetup paperSize="9" scale="91" orientation="landscape" r:id="rId2"/>
      <headerFooter alignWithMargins="0">
        <oddFooter>&amp;Cصفحه (17)</oddFooter>
      </headerFooter>
    </customSheetView>
  </customSheetViews>
  <mergeCells count="7">
    <mergeCell ref="Q3:AC3"/>
    <mergeCell ref="AF3:AI3"/>
    <mergeCell ref="D3:N3"/>
    <mergeCell ref="A21:AI21"/>
    <mergeCell ref="B18:AI18"/>
    <mergeCell ref="B16:AI16"/>
    <mergeCell ref="B17:AI17"/>
  </mergeCells>
  <phoneticPr fontId="0" type="noConversion"/>
  <printOptions horizontalCentered="1"/>
  <pageMargins left="0.27559055118110237" right="0.35433070866141736" top="1.1811023622047245" bottom="0.15748031496062992" header="0.19685039370078741" footer="0.27559055118110237"/>
  <pageSetup paperSize="9" scale="96" orientation="landscape" r:id="rId3"/>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50"/>
  <sheetViews>
    <sheetView rightToLeft="1" zoomScaleSheetLayoutView="85" workbookViewId="0">
      <selection activeCell="E10" sqref="E10"/>
    </sheetView>
  </sheetViews>
  <sheetFormatPr defaultRowHeight="22.5" x14ac:dyDescent="0.2"/>
  <cols>
    <col min="1" max="1" width="8.5703125" style="36" bestFit="1" customWidth="1"/>
    <col min="2" max="2" width="19" style="36" customWidth="1"/>
    <col min="3" max="3" width="5.42578125" style="125" customWidth="1"/>
    <col min="4" max="4" width="9.85546875" style="36" customWidth="1"/>
    <col min="5" max="6" width="6.85546875" style="36" customWidth="1"/>
    <col min="7" max="7" width="2.7109375" style="36" customWidth="1"/>
    <col min="8" max="8" width="10.7109375" style="36" customWidth="1"/>
    <col min="9" max="9" width="15.5703125" style="36" hidden="1" customWidth="1"/>
    <col min="10" max="10" width="2.140625" style="36" customWidth="1"/>
    <col min="11" max="11" width="13.5703125" style="36" customWidth="1"/>
    <col min="12" max="12" width="15.5703125" style="39" hidden="1" customWidth="1"/>
    <col min="13" max="13" width="1.42578125" style="39" customWidth="1"/>
    <col min="14" max="14" width="12.7109375" style="39" customWidth="1"/>
    <col min="15" max="16384" width="9.140625" style="39"/>
  </cols>
  <sheetData>
    <row r="1" spans="1:13" ht="21" customHeight="1" x14ac:dyDescent="0.2">
      <c r="A1" s="61" t="s">
        <v>58</v>
      </c>
      <c r="B1" s="62" t="s">
        <v>75</v>
      </c>
      <c r="C1" s="38"/>
      <c r="D1" s="63"/>
      <c r="E1" s="53"/>
      <c r="F1" s="63"/>
      <c r="G1" s="53"/>
      <c r="H1" s="53"/>
      <c r="I1" s="53"/>
    </row>
    <row r="2" spans="1:13" ht="17.25" customHeight="1" x14ac:dyDescent="0.2">
      <c r="C2" s="39"/>
      <c r="D2" s="39"/>
      <c r="E2" s="39"/>
      <c r="F2" s="53"/>
      <c r="G2" s="39"/>
      <c r="H2" s="227">
        <v>1389</v>
      </c>
      <c r="I2" s="227">
        <v>1389</v>
      </c>
      <c r="J2" s="52"/>
      <c r="K2" s="227">
        <v>1388</v>
      </c>
      <c r="L2" s="227">
        <v>1388</v>
      </c>
    </row>
    <row r="3" spans="1:13" ht="19.5" customHeight="1" x14ac:dyDescent="0.55000000000000004">
      <c r="C3" s="39"/>
      <c r="D3" s="39"/>
      <c r="E3" s="39"/>
      <c r="F3" s="53"/>
      <c r="G3" s="39"/>
      <c r="H3" s="230" t="s">
        <v>132</v>
      </c>
      <c r="I3" s="230" t="s">
        <v>120</v>
      </c>
      <c r="J3" s="230"/>
      <c r="K3" s="230" t="s">
        <v>132</v>
      </c>
      <c r="L3" s="230" t="s">
        <v>120</v>
      </c>
    </row>
    <row r="4" spans="1:13" ht="18.75" customHeight="1" x14ac:dyDescent="0.2">
      <c r="B4" s="36" t="s">
        <v>143</v>
      </c>
      <c r="C4" s="39"/>
      <c r="D4" s="39"/>
      <c r="E4" s="39"/>
      <c r="F4" s="53"/>
      <c r="G4" s="39"/>
      <c r="H4" s="124">
        <f>233+60</f>
        <v>293</v>
      </c>
      <c r="I4" s="124"/>
      <c r="J4" s="124"/>
      <c r="K4" s="124">
        <f>233+60</f>
        <v>293</v>
      </c>
      <c r="L4" s="124">
        <v>6500000</v>
      </c>
      <c r="M4" s="53"/>
    </row>
    <row r="5" spans="1:13" ht="18.75" customHeight="1" x14ac:dyDescent="0.2">
      <c r="B5" s="36" t="s">
        <v>1</v>
      </c>
      <c r="C5" s="39"/>
      <c r="D5" s="39"/>
      <c r="E5" s="39"/>
      <c r="F5" s="53"/>
      <c r="G5" s="39"/>
      <c r="H5" s="124">
        <f>50+17+8+145</f>
        <v>220</v>
      </c>
      <c r="I5" s="124"/>
      <c r="J5" s="124"/>
      <c r="K5" s="124">
        <f>50</f>
        <v>50</v>
      </c>
      <c r="L5" s="204">
        <v>0</v>
      </c>
    </row>
    <row r="6" spans="1:13" ht="18.75" customHeight="1" x14ac:dyDescent="0.2">
      <c r="C6" s="39"/>
      <c r="D6" s="39"/>
      <c r="E6" s="39"/>
      <c r="F6" s="53"/>
      <c r="G6" s="39"/>
      <c r="H6" s="210">
        <f>SUM(H4:H5)</f>
        <v>513</v>
      </c>
      <c r="I6" s="124"/>
      <c r="J6" s="124"/>
      <c r="K6" s="210">
        <f>SUM(K4:K5)</f>
        <v>343</v>
      </c>
      <c r="L6" s="204"/>
    </row>
    <row r="7" spans="1:13" ht="18.75" customHeight="1" x14ac:dyDescent="0.2">
      <c r="B7" s="36" t="s">
        <v>349</v>
      </c>
      <c r="C7" s="39"/>
      <c r="D7" s="39"/>
      <c r="E7" s="39"/>
      <c r="F7" s="53"/>
      <c r="G7" s="39"/>
      <c r="H7" s="106">
        <f>-46</f>
        <v>-46</v>
      </c>
      <c r="I7" s="106"/>
      <c r="J7" s="106"/>
      <c r="K7" s="106">
        <f>-41</f>
        <v>-41</v>
      </c>
      <c r="L7" s="204"/>
    </row>
    <row r="8" spans="1:13" ht="16.5" customHeight="1" thickBot="1" x14ac:dyDescent="0.25">
      <c r="C8" s="39"/>
      <c r="D8" s="39"/>
      <c r="E8" s="39"/>
      <c r="F8" s="53"/>
      <c r="G8" s="39"/>
      <c r="H8" s="40">
        <f>SUM(H6:H7)</f>
        <v>467</v>
      </c>
      <c r="I8" s="210">
        <f>SUM(I4:I5)</f>
        <v>0</v>
      </c>
      <c r="J8" s="124"/>
      <c r="K8" s="40">
        <f>SUM(K6:K7)</f>
        <v>302</v>
      </c>
      <c r="L8" s="210">
        <f>SUM(L4:L5)</f>
        <v>6500000</v>
      </c>
    </row>
    <row r="9" spans="1:13" ht="7.5" customHeight="1" thickTop="1" x14ac:dyDescent="0.2">
      <c r="A9" s="49"/>
      <c r="B9" s="50"/>
      <c r="C9" s="63"/>
      <c r="D9" s="53"/>
      <c r="E9" s="63"/>
      <c r="F9" s="53"/>
    </row>
    <row r="10" spans="1:13" ht="18" customHeight="1" x14ac:dyDescent="0.2">
      <c r="A10" s="61" t="s">
        <v>289</v>
      </c>
      <c r="B10" s="62" t="s">
        <v>287</v>
      </c>
      <c r="C10" s="63"/>
      <c r="D10" s="53"/>
      <c r="E10" s="63"/>
      <c r="F10" s="53"/>
    </row>
    <row r="11" spans="1:13" ht="18.75" customHeight="1" x14ac:dyDescent="0.2">
      <c r="A11" s="49"/>
      <c r="B11" s="39"/>
      <c r="C11" s="39"/>
      <c r="D11" s="39"/>
      <c r="E11" s="39"/>
      <c r="F11" s="237" t="s">
        <v>25</v>
      </c>
      <c r="G11" s="39"/>
      <c r="H11" s="227">
        <v>1389</v>
      </c>
      <c r="I11" s="227">
        <v>1389</v>
      </c>
      <c r="J11" s="52"/>
      <c r="K11" s="227">
        <v>1388</v>
      </c>
    </row>
    <row r="12" spans="1:13" ht="20.25" customHeight="1" x14ac:dyDescent="0.55000000000000004">
      <c r="A12" s="49"/>
      <c r="B12" s="39"/>
      <c r="C12" s="39"/>
      <c r="D12" s="39"/>
      <c r="E12" s="39"/>
      <c r="F12" s="39"/>
      <c r="G12" s="39"/>
      <c r="H12" s="230" t="s">
        <v>132</v>
      </c>
      <c r="I12" s="230" t="s">
        <v>120</v>
      </c>
      <c r="J12" s="230"/>
      <c r="K12" s="230" t="s">
        <v>132</v>
      </c>
    </row>
    <row r="13" spans="1:13" ht="19.5" customHeight="1" x14ac:dyDescent="0.2">
      <c r="A13" s="49"/>
      <c r="B13" s="39" t="s">
        <v>448</v>
      </c>
      <c r="C13" s="39"/>
      <c r="D13" s="39"/>
      <c r="E13" s="39"/>
      <c r="F13" s="39"/>
      <c r="G13" s="39"/>
      <c r="H13" s="124">
        <v>25</v>
      </c>
      <c r="I13" s="39"/>
      <c r="J13" s="39"/>
      <c r="K13" s="238">
        <v>0</v>
      </c>
    </row>
    <row r="14" spans="1:13" ht="19.5" customHeight="1" x14ac:dyDescent="0.2">
      <c r="A14" s="49"/>
      <c r="B14" s="39" t="s">
        <v>376</v>
      </c>
      <c r="C14" s="39"/>
      <c r="D14" s="39"/>
      <c r="E14" s="39"/>
      <c r="F14" s="203" t="s">
        <v>356</v>
      </c>
      <c r="G14" s="39"/>
      <c r="H14" s="124">
        <v>14984</v>
      </c>
      <c r="I14" s="39"/>
      <c r="J14" s="39"/>
      <c r="K14" s="124">
        <v>18527</v>
      </c>
    </row>
    <row r="15" spans="1:13" ht="19.5" customHeight="1" x14ac:dyDescent="0.2">
      <c r="A15" s="49"/>
      <c r="B15" s="39" t="s">
        <v>449</v>
      </c>
      <c r="C15" s="39"/>
      <c r="D15" s="39"/>
      <c r="E15" s="39"/>
      <c r="F15" s="203" t="s">
        <v>357</v>
      </c>
      <c r="G15" s="39"/>
      <c r="H15" s="124">
        <v>6340</v>
      </c>
      <c r="I15" s="39"/>
      <c r="J15" s="39"/>
      <c r="K15" s="238">
        <v>0</v>
      </c>
    </row>
    <row r="16" spans="1:13" ht="19.5" customHeight="1" x14ac:dyDescent="0.2">
      <c r="A16" s="49"/>
      <c r="B16" s="39" t="s">
        <v>378</v>
      </c>
      <c r="C16" s="39"/>
      <c r="D16" s="39"/>
      <c r="E16" s="39"/>
      <c r="F16" s="39"/>
      <c r="G16" s="39"/>
      <c r="H16" s="124">
        <v>626</v>
      </c>
      <c r="I16" s="39"/>
      <c r="J16" s="39"/>
      <c r="K16" s="124">
        <v>53</v>
      </c>
    </row>
    <row r="17" spans="1:12" ht="19.5" customHeight="1" x14ac:dyDescent="0.2">
      <c r="A17" s="49"/>
      <c r="B17" s="39" t="s">
        <v>450</v>
      </c>
      <c r="C17" s="39"/>
      <c r="D17" s="39"/>
      <c r="E17" s="39"/>
      <c r="F17" s="39"/>
      <c r="G17" s="39"/>
      <c r="H17" s="124">
        <v>403</v>
      </c>
      <c r="I17" s="39"/>
      <c r="J17" s="39"/>
      <c r="K17" s="124">
        <v>12</v>
      </c>
    </row>
    <row r="18" spans="1:12" ht="21" customHeight="1" thickBot="1" x14ac:dyDescent="0.25">
      <c r="A18" s="49"/>
      <c r="B18" s="39"/>
      <c r="C18" s="39"/>
      <c r="D18" s="39"/>
      <c r="E18" s="39"/>
      <c r="F18" s="39"/>
      <c r="G18" s="39"/>
      <c r="H18" s="40">
        <f>SUM(H13:H17)</f>
        <v>22378</v>
      </c>
      <c r="I18" s="39"/>
      <c r="J18" s="39"/>
      <c r="K18" s="40">
        <f>SUM(K13:K17)</f>
        <v>18592</v>
      </c>
    </row>
    <row r="19" spans="1:12" ht="5.25" customHeight="1" thickTop="1" x14ac:dyDescent="0.2">
      <c r="A19" s="49"/>
      <c r="B19" s="50"/>
      <c r="C19" s="63"/>
      <c r="D19" s="53"/>
      <c r="E19" s="63"/>
      <c r="F19" s="53"/>
    </row>
    <row r="20" spans="1:12" ht="20.25" customHeight="1" x14ac:dyDescent="0.2">
      <c r="A20" s="49"/>
      <c r="B20" s="300" t="s">
        <v>451</v>
      </c>
      <c r="C20" s="300"/>
      <c r="D20" s="300"/>
      <c r="E20" s="300"/>
      <c r="F20" s="300"/>
      <c r="G20" s="300"/>
      <c r="H20" s="300"/>
      <c r="I20" s="300"/>
      <c r="J20" s="300"/>
      <c r="K20" s="300"/>
    </row>
    <row r="21" spans="1:12" ht="20.25" customHeight="1" x14ac:dyDescent="0.2">
      <c r="A21" s="49"/>
      <c r="B21" s="300"/>
      <c r="C21" s="300"/>
      <c r="D21" s="300"/>
      <c r="E21" s="300"/>
      <c r="F21" s="300"/>
      <c r="G21" s="300"/>
      <c r="H21" s="300"/>
      <c r="I21" s="300"/>
      <c r="J21" s="300"/>
      <c r="K21" s="300"/>
    </row>
    <row r="22" spans="1:12" ht="21.75" customHeight="1" x14ac:dyDescent="0.2">
      <c r="A22" s="231"/>
      <c r="B22" s="302" t="s">
        <v>452</v>
      </c>
      <c r="C22" s="302"/>
      <c r="D22" s="302"/>
      <c r="E22" s="302"/>
      <c r="F22" s="302"/>
      <c r="G22" s="302"/>
      <c r="H22" s="302"/>
      <c r="I22" s="302"/>
      <c r="J22" s="302"/>
      <c r="K22" s="302"/>
    </row>
    <row r="23" spans="1:12" ht="8.25" customHeight="1" x14ac:dyDescent="0.2">
      <c r="A23" s="49"/>
      <c r="B23" s="50"/>
      <c r="C23" s="63"/>
      <c r="D23" s="53"/>
      <c r="E23" s="63"/>
      <c r="F23" s="53"/>
    </row>
    <row r="24" spans="1:12" ht="19.5" customHeight="1" x14ac:dyDescent="0.2">
      <c r="A24" s="49" t="s">
        <v>59</v>
      </c>
      <c r="B24" s="62" t="s">
        <v>63</v>
      </c>
      <c r="C24" s="63"/>
      <c r="D24" s="53"/>
      <c r="E24" s="63"/>
      <c r="F24" s="53"/>
    </row>
    <row r="25" spans="1:12" ht="20.25" customHeight="1" x14ac:dyDescent="0.2">
      <c r="B25" s="50" t="s">
        <v>61</v>
      </c>
      <c r="C25" s="63"/>
      <c r="D25" s="53"/>
      <c r="E25" s="63"/>
      <c r="F25" s="53"/>
      <c r="K25" s="176" t="s">
        <v>200</v>
      </c>
      <c r="L25" s="100" t="s">
        <v>200</v>
      </c>
    </row>
    <row r="26" spans="1:12" ht="19.5" customHeight="1" x14ac:dyDescent="0.2">
      <c r="C26" s="39"/>
      <c r="D26" s="39"/>
      <c r="E26" s="39"/>
      <c r="F26" s="237" t="s">
        <v>25</v>
      </c>
      <c r="G26" s="39"/>
      <c r="H26" s="227">
        <v>1389</v>
      </c>
      <c r="I26" s="227">
        <v>1389</v>
      </c>
      <c r="J26" s="52"/>
      <c r="K26" s="227">
        <v>1388</v>
      </c>
      <c r="L26" s="227">
        <v>1388</v>
      </c>
    </row>
    <row r="27" spans="1:12" ht="19.5" customHeight="1" x14ac:dyDescent="0.55000000000000004">
      <c r="C27" s="39"/>
      <c r="D27" s="39"/>
      <c r="E27" s="39"/>
      <c r="F27" s="39"/>
      <c r="G27" s="39"/>
      <c r="H27" s="230" t="s">
        <v>132</v>
      </c>
      <c r="I27" s="230" t="s">
        <v>120</v>
      </c>
      <c r="J27" s="230"/>
      <c r="K27" s="230" t="s">
        <v>132</v>
      </c>
      <c r="L27" s="230" t="s">
        <v>120</v>
      </c>
    </row>
    <row r="28" spans="1:12" ht="16.5" customHeight="1" x14ac:dyDescent="0.2">
      <c r="B28" s="239" t="s">
        <v>60</v>
      </c>
      <c r="C28" s="39"/>
      <c r="D28" s="39"/>
      <c r="E28" s="39"/>
      <c r="F28" s="203" t="s">
        <v>290</v>
      </c>
      <c r="G28" s="39"/>
      <c r="H28" s="124">
        <f>1271+420+42+20</f>
        <v>1753</v>
      </c>
      <c r="I28" s="124"/>
      <c r="J28" s="124"/>
      <c r="K28" s="124">
        <v>784</v>
      </c>
      <c r="L28" s="124">
        <v>556020332</v>
      </c>
    </row>
    <row r="29" spans="1:12" ht="16.5" customHeight="1" x14ac:dyDescent="0.2">
      <c r="B29" s="239" t="s">
        <v>375</v>
      </c>
      <c r="C29" s="39"/>
      <c r="D29" s="39"/>
      <c r="E29" s="39"/>
      <c r="F29" s="203"/>
      <c r="G29" s="39"/>
      <c r="H29" s="124">
        <f>54239-2095</f>
        <v>52144</v>
      </c>
      <c r="I29" s="124"/>
      <c r="J29" s="124"/>
      <c r="K29" s="124">
        <f>32612-2068</f>
        <v>30544</v>
      </c>
      <c r="L29" s="124"/>
    </row>
    <row r="30" spans="1:12" ht="16.5" customHeight="1" x14ac:dyDescent="0.2">
      <c r="B30" s="239" t="s">
        <v>297</v>
      </c>
      <c r="C30" s="39"/>
      <c r="D30" s="39"/>
      <c r="E30" s="39"/>
      <c r="F30" s="203"/>
      <c r="G30" s="39"/>
      <c r="H30" s="124">
        <v>5088</v>
      </c>
      <c r="I30" s="124"/>
      <c r="J30" s="124"/>
      <c r="K30" s="124">
        <v>5088</v>
      </c>
      <c r="L30" s="124"/>
    </row>
    <row r="31" spans="1:12" ht="16.5" customHeight="1" x14ac:dyDescent="0.2">
      <c r="B31" s="239" t="s">
        <v>298</v>
      </c>
      <c r="C31" s="39"/>
      <c r="D31" s="39"/>
      <c r="E31" s="39"/>
      <c r="F31" s="203"/>
      <c r="G31" s="39"/>
      <c r="H31" s="124">
        <f>680+2335</f>
        <v>3015</v>
      </c>
      <c r="I31" s="124"/>
      <c r="J31" s="124"/>
      <c r="K31" s="124">
        <f>680+2335</f>
        <v>3015</v>
      </c>
      <c r="L31" s="124"/>
    </row>
    <row r="32" spans="1:12" ht="16.5" customHeight="1" x14ac:dyDescent="0.2">
      <c r="B32" s="239" t="s">
        <v>377</v>
      </c>
      <c r="C32" s="39"/>
      <c r="D32" s="39"/>
      <c r="E32" s="39"/>
      <c r="F32" s="203"/>
      <c r="G32" s="39"/>
      <c r="H32" s="124">
        <f>1432-92</f>
        <v>1340</v>
      </c>
      <c r="I32" s="124"/>
      <c r="J32" s="124"/>
      <c r="K32" s="124">
        <v>4325</v>
      </c>
      <c r="L32" s="124"/>
    </row>
    <row r="33" spans="1:12" ht="16.5" customHeight="1" x14ac:dyDescent="0.2">
      <c r="B33" s="239" t="s">
        <v>453</v>
      </c>
      <c r="C33" s="39"/>
      <c r="D33" s="39"/>
      <c r="E33" s="39"/>
      <c r="F33" s="203"/>
      <c r="G33" s="39"/>
      <c r="H33" s="124">
        <v>1050</v>
      </c>
      <c r="I33" s="124"/>
      <c r="J33" s="124"/>
      <c r="K33" s="204">
        <v>0</v>
      </c>
      <c r="L33" s="124"/>
    </row>
    <row r="34" spans="1:12" ht="16.5" customHeight="1" x14ac:dyDescent="0.2">
      <c r="B34" s="239" t="s">
        <v>296</v>
      </c>
      <c r="C34" s="39"/>
      <c r="D34" s="39"/>
      <c r="E34" s="39"/>
      <c r="F34" s="39"/>
      <c r="G34" s="39"/>
      <c r="H34" s="124">
        <f>100+46+240+313+33+133-86-194</f>
        <v>585</v>
      </c>
      <c r="I34" s="124"/>
      <c r="J34" s="124"/>
      <c r="K34" s="124">
        <f>185+215+50+170-86-188+191+27-11</f>
        <v>553</v>
      </c>
      <c r="L34" s="124">
        <v>52098000</v>
      </c>
    </row>
    <row r="35" spans="1:12" ht="16.5" customHeight="1" x14ac:dyDescent="0.2">
      <c r="B35" s="239" t="s">
        <v>246</v>
      </c>
      <c r="C35" s="39"/>
      <c r="D35" s="39"/>
      <c r="E35" s="39"/>
      <c r="F35" s="39"/>
      <c r="G35" s="39"/>
      <c r="H35" s="124">
        <v>400</v>
      </c>
      <c r="I35" s="124"/>
      <c r="J35" s="124"/>
      <c r="K35" s="124">
        <v>400</v>
      </c>
      <c r="L35" s="204"/>
    </row>
    <row r="36" spans="1:12" ht="16.5" customHeight="1" x14ac:dyDescent="0.2">
      <c r="B36" s="239" t="s">
        <v>454</v>
      </c>
      <c r="C36" s="39"/>
      <c r="D36" s="39"/>
      <c r="E36" s="39"/>
      <c r="F36" s="203"/>
      <c r="G36" s="39"/>
      <c r="H36" s="124">
        <v>316</v>
      </c>
      <c r="I36" s="124"/>
      <c r="J36" s="124"/>
      <c r="K36" s="124">
        <f>167-6</f>
        <v>161</v>
      </c>
      <c r="L36" s="124"/>
    </row>
    <row r="37" spans="1:12" ht="16.5" customHeight="1" x14ac:dyDescent="0.2">
      <c r="B37" s="239" t="s">
        <v>292</v>
      </c>
      <c r="C37" s="39"/>
      <c r="D37" s="39"/>
      <c r="E37" s="39"/>
      <c r="F37" s="203"/>
      <c r="G37" s="39"/>
      <c r="H37" s="124">
        <v>274</v>
      </c>
      <c r="I37" s="124"/>
      <c r="J37" s="124"/>
      <c r="K37" s="204">
        <v>0</v>
      </c>
      <c r="L37" s="124"/>
    </row>
    <row r="38" spans="1:12" ht="16.5" customHeight="1" x14ac:dyDescent="0.2">
      <c r="B38" s="239" t="s">
        <v>398</v>
      </c>
      <c r="C38" s="39"/>
      <c r="D38" s="39"/>
      <c r="E38" s="39"/>
      <c r="F38" s="203"/>
      <c r="G38" s="39"/>
      <c r="H38" s="124">
        <v>202</v>
      </c>
      <c r="I38" s="124"/>
      <c r="J38" s="124"/>
      <c r="K38" s="204">
        <v>0</v>
      </c>
      <c r="L38" s="124"/>
    </row>
    <row r="39" spans="1:12" ht="16.5" customHeight="1" x14ac:dyDescent="0.2">
      <c r="B39" s="239" t="s">
        <v>160</v>
      </c>
      <c r="C39" s="39"/>
      <c r="D39" s="39"/>
      <c r="E39" s="39"/>
      <c r="F39" s="39"/>
      <c r="G39" s="39"/>
      <c r="H39" s="124">
        <v>156</v>
      </c>
      <c r="I39" s="124"/>
      <c r="J39" s="124"/>
      <c r="K39" s="124">
        <f>125-11</f>
        <v>114</v>
      </c>
      <c r="L39" s="124">
        <f>48475805+4293550+649818</f>
        <v>53419173</v>
      </c>
    </row>
    <row r="40" spans="1:12" ht="16.5" customHeight="1" x14ac:dyDescent="0.2">
      <c r="B40" s="239" t="s">
        <v>293</v>
      </c>
      <c r="C40" s="39"/>
      <c r="D40" s="39"/>
      <c r="E40" s="39"/>
      <c r="F40" s="203"/>
      <c r="G40" s="39"/>
      <c r="H40" s="124">
        <v>149</v>
      </c>
      <c r="I40" s="124"/>
      <c r="J40" s="124"/>
      <c r="K40" s="204">
        <v>0</v>
      </c>
      <c r="L40" s="124"/>
    </row>
    <row r="41" spans="1:12" ht="16.5" customHeight="1" x14ac:dyDescent="0.2">
      <c r="B41" s="239" t="s">
        <v>295</v>
      </c>
      <c r="C41" s="39"/>
      <c r="D41" s="39"/>
      <c r="E41" s="39"/>
      <c r="F41" s="39"/>
      <c r="G41" s="39"/>
      <c r="H41" s="124">
        <f>31+24+1-32</f>
        <v>24</v>
      </c>
      <c r="I41" s="124"/>
      <c r="J41" s="124"/>
      <c r="K41" s="124">
        <f>12+9+2+46</f>
        <v>69</v>
      </c>
      <c r="L41" s="204">
        <v>0</v>
      </c>
    </row>
    <row r="42" spans="1:12" ht="16.5" customHeight="1" x14ac:dyDescent="0.2">
      <c r="B42" s="239" t="s">
        <v>294</v>
      </c>
      <c r="C42" s="39"/>
      <c r="D42" s="39"/>
      <c r="E42" s="39"/>
      <c r="F42" s="203"/>
      <c r="G42" s="39"/>
      <c r="H42" s="204">
        <v>0</v>
      </c>
      <c r="I42" s="124"/>
      <c r="J42" s="124"/>
      <c r="K42" s="124">
        <v>119</v>
      </c>
      <c r="L42" s="124"/>
    </row>
    <row r="43" spans="1:12" ht="16.5" customHeight="1" x14ac:dyDescent="0.2">
      <c r="B43" s="36" t="s">
        <v>0</v>
      </c>
      <c r="C43" s="39"/>
      <c r="D43" s="39"/>
      <c r="E43" s="39"/>
      <c r="F43" s="39"/>
      <c r="G43" s="39"/>
      <c r="H43" s="124">
        <f>26+30+11+38+4+172+9+10+4+6+1+10+2+20+3+2+3+22+7+9+10+1+6+5+11+1+79-7</f>
        <v>495</v>
      </c>
      <c r="I43" s="124"/>
      <c r="J43" s="124"/>
      <c r="K43" s="124">
        <f>3+6+10+3+6+8+2+9+22+1+3+7+7+30+7+26+4+2+79-10+30+96+20+20-13</f>
        <v>378</v>
      </c>
      <c r="L43" s="124">
        <f>950000+23239010+1584000+13730000+703000+4856000+1510000+2434000+70000000+2934000+8000000+804000+2000000+488000+26952096</f>
        <v>160184106</v>
      </c>
    </row>
    <row r="44" spans="1:12" ht="16.5" customHeight="1" thickBot="1" x14ac:dyDescent="0.25">
      <c r="C44" s="39"/>
      <c r="D44" s="39"/>
      <c r="E44" s="39"/>
      <c r="F44" s="39"/>
      <c r="G44" s="39"/>
      <c r="H44" s="40">
        <f>SUM(H28:H43)</f>
        <v>66991</v>
      </c>
      <c r="I44" s="124"/>
      <c r="J44" s="124"/>
      <c r="K44" s="40">
        <f>SUM(K28:K43)</f>
        <v>45550</v>
      </c>
      <c r="L44" s="124"/>
    </row>
    <row r="45" spans="1:12" ht="22.5" customHeight="1" thickTop="1" x14ac:dyDescent="0.2">
      <c r="A45" s="294">
        <v>13</v>
      </c>
      <c r="B45" s="294"/>
      <c r="C45" s="294"/>
      <c r="D45" s="294"/>
      <c r="E45" s="294"/>
      <c r="F45" s="294"/>
      <c r="G45" s="294"/>
      <c r="H45" s="294"/>
      <c r="I45" s="294"/>
      <c r="J45" s="294"/>
      <c r="K45" s="294"/>
    </row>
    <row r="46" spans="1:12" ht="20.25" customHeight="1" x14ac:dyDescent="0.2">
      <c r="B46" s="239" t="s">
        <v>291</v>
      </c>
      <c r="C46" s="39"/>
      <c r="D46" s="39"/>
      <c r="E46" s="39"/>
      <c r="F46" s="39"/>
      <c r="G46" s="39"/>
      <c r="H46" s="240"/>
      <c r="I46" s="124"/>
      <c r="J46" s="240"/>
      <c r="K46" s="151" t="s">
        <v>139</v>
      </c>
      <c r="L46" s="151" t="s">
        <v>139</v>
      </c>
    </row>
    <row r="47" spans="1:12" ht="20.25" customHeight="1" x14ac:dyDescent="0.2">
      <c r="B47" s="241"/>
      <c r="C47" s="39"/>
      <c r="D47" s="39"/>
      <c r="E47" s="39"/>
      <c r="F47" s="39"/>
      <c r="G47" s="39"/>
      <c r="H47" s="240"/>
      <c r="I47" s="124"/>
      <c r="J47" s="240"/>
      <c r="K47" s="147" t="s">
        <v>132</v>
      </c>
      <c r="L47" s="147" t="s">
        <v>120</v>
      </c>
    </row>
    <row r="48" spans="1:12" ht="19.5" customHeight="1" x14ac:dyDescent="0.2">
      <c r="B48" s="36" t="s">
        <v>300</v>
      </c>
      <c r="K48" s="124">
        <v>574</v>
      </c>
      <c r="L48" s="124"/>
    </row>
    <row r="49" spans="1:12" ht="19.5" customHeight="1" x14ac:dyDescent="0.2">
      <c r="B49" s="36" t="s">
        <v>455</v>
      </c>
      <c r="K49" s="124">
        <v>324</v>
      </c>
      <c r="L49" s="124"/>
    </row>
    <row r="50" spans="1:12" ht="19.5" customHeight="1" x14ac:dyDescent="0.2">
      <c r="B50" s="36" t="s">
        <v>301</v>
      </c>
      <c r="K50" s="124">
        <v>145</v>
      </c>
      <c r="L50" s="124"/>
    </row>
    <row r="51" spans="1:12" ht="19.5" customHeight="1" x14ac:dyDescent="0.2">
      <c r="B51" s="36" t="s">
        <v>302</v>
      </c>
      <c r="K51" s="124">
        <v>67</v>
      </c>
      <c r="L51" s="124"/>
    </row>
    <row r="52" spans="1:12" ht="19.5" customHeight="1" x14ac:dyDescent="0.2">
      <c r="B52" s="36" t="s">
        <v>0</v>
      </c>
      <c r="K52" s="124">
        <v>643</v>
      </c>
      <c r="L52" s="124">
        <v>660000</v>
      </c>
    </row>
    <row r="53" spans="1:12" ht="18" customHeight="1" thickBot="1" x14ac:dyDescent="0.25">
      <c r="K53" s="40">
        <f>SUM(K48:K52)</f>
        <v>1753</v>
      </c>
      <c r="L53" s="40">
        <f>SUM(L48:L52)</f>
        <v>660000</v>
      </c>
    </row>
    <row r="54" spans="1:12" ht="10.5" customHeight="1" thickTop="1" x14ac:dyDescent="0.2">
      <c r="B54" s="242"/>
      <c r="C54" s="242"/>
      <c r="D54" s="242"/>
      <c r="E54" s="242"/>
      <c r="F54" s="242"/>
      <c r="G54" s="242"/>
      <c r="H54" s="242"/>
      <c r="I54" s="242"/>
      <c r="J54" s="242"/>
      <c r="K54" s="242"/>
      <c r="L54" s="36"/>
    </row>
    <row r="55" spans="1:12" ht="21.75" customHeight="1" x14ac:dyDescent="0.2">
      <c r="B55" s="301" t="s">
        <v>367</v>
      </c>
      <c r="C55" s="301"/>
      <c r="D55" s="301"/>
      <c r="E55" s="301"/>
      <c r="F55" s="301"/>
      <c r="G55" s="301"/>
      <c r="H55" s="301"/>
      <c r="I55" s="301"/>
      <c r="J55" s="301"/>
      <c r="K55" s="301"/>
      <c r="L55" s="36"/>
    </row>
    <row r="56" spans="1:12" ht="21.75" customHeight="1" x14ac:dyDescent="0.2">
      <c r="A56" s="266"/>
      <c r="B56" s="301"/>
      <c r="C56" s="301"/>
      <c r="D56" s="301"/>
      <c r="E56" s="301"/>
      <c r="F56" s="301"/>
      <c r="G56" s="301"/>
      <c r="H56" s="301"/>
      <c r="I56" s="301"/>
      <c r="J56" s="301"/>
      <c r="K56" s="301"/>
      <c r="L56" s="36"/>
    </row>
    <row r="57" spans="1:12" ht="9" customHeight="1" x14ac:dyDescent="0.2">
      <c r="B57" s="242"/>
      <c r="C57" s="242"/>
      <c r="D57" s="242"/>
      <c r="E57" s="242"/>
      <c r="F57" s="242"/>
      <c r="G57" s="242"/>
      <c r="H57" s="242"/>
      <c r="I57" s="242"/>
      <c r="J57" s="242"/>
      <c r="K57" s="242"/>
      <c r="L57" s="36"/>
    </row>
    <row r="58" spans="1:12" ht="21.75" customHeight="1" x14ac:dyDescent="0.2">
      <c r="A58" s="49" t="s">
        <v>308</v>
      </c>
      <c r="B58" s="62" t="s">
        <v>306</v>
      </c>
      <c r="C58" s="242"/>
      <c r="D58" s="242"/>
      <c r="E58" s="242"/>
      <c r="F58" s="242"/>
      <c r="G58" s="242"/>
      <c r="H58" s="242"/>
      <c r="I58" s="242"/>
      <c r="J58" s="242"/>
      <c r="K58" s="242"/>
      <c r="L58" s="36"/>
    </row>
    <row r="59" spans="1:12" x14ac:dyDescent="0.2">
      <c r="B59" s="242"/>
      <c r="C59" s="242"/>
      <c r="D59" s="242"/>
      <c r="E59" s="242"/>
      <c r="F59" s="242"/>
      <c r="G59" s="242"/>
      <c r="H59" s="227">
        <v>1389</v>
      </c>
      <c r="I59" s="227">
        <v>1389</v>
      </c>
      <c r="J59" s="52"/>
      <c r="K59" s="227">
        <v>1388</v>
      </c>
      <c r="L59" s="36"/>
    </row>
    <row r="60" spans="1:12" x14ac:dyDescent="0.55000000000000004">
      <c r="B60" s="242"/>
      <c r="C60" s="242"/>
      <c r="D60" s="242"/>
      <c r="E60" s="242"/>
      <c r="F60" s="242"/>
      <c r="G60" s="242"/>
      <c r="H60" s="230" t="s">
        <v>132</v>
      </c>
      <c r="I60" s="230" t="s">
        <v>120</v>
      </c>
      <c r="J60" s="230"/>
      <c r="K60" s="230" t="s">
        <v>132</v>
      </c>
      <c r="L60" s="36"/>
    </row>
    <row r="61" spans="1:12" x14ac:dyDescent="0.2">
      <c r="B61" s="36" t="s">
        <v>456</v>
      </c>
      <c r="C61" s="242"/>
      <c r="D61" s="242"/>
      <c r="E61" s="242"/>
      <c r="F61" s="242"/>
      <c r="G61" s="242"/>
      <c r="H61" s="36">
        <v>340</v>
      </c>
      <c r="K61" s="243">
        <v>0</v>
      </c>
      <c r="L61" s="36"/>
    </row>
    <row r="62" spans="1:12" x14ac:dyDescent="0.2">
      <c r="B62" s="36" t="s">
        <v>457</v>
      </c>
      <c r="C62" s="242"/>
      <c r="D62" s="242"/>
      <c r="E62" s="242"/>
      <c r="F62" s="242"/>
      <c r="G62" s="242"/>
      <c r="H62" s="36">
        <v>278</v>
      </c>
      <c r="K62" s="243">
        <v>0</v>
      </c>
      <c r="L62" s="36"/>
    </row>
    <row r="63" spans="1:12" x14ac:dyDescent="0.2">
      <c r="B63" s="36" t="s">
        <v>458</v>
      </c>
      <c r="C63" s="242"/>
      <c r="D63" s="242"/>
      <c r="E63" s="242"/>
      <c r="F63" s="242"/>
      <c r="G63" s="242"/>
      <c r="H63" s="36">
        <v>83</v>
      </c>
      <c r="K63" s="243">
        <v>0</v>
      </c>
      <c r="L63" s="36"/>
    </row>
    <row r="64" spans="1:12" x14ac:dyDescent="0.2">
      <c r="B64" s="36" t="s">
        <v>459</v>
      </c>
      <c r="C64" s="242"/>
      <c r="D64" s="242"/>
      <c r="E64" s="242"/>
      <c r="F64" s="242"/>
      <c r="G64" s="242"/>
      <c r="H64" s="36">
        <v>82</v>
      </c>
      <c r="K64" s="36">
        <v>150</v>
      </c>
      <c r="L64" s="36"/>
    </row>
    <row r="65" spans="2:12" ht="23.25" thickBot="1" x14ac:dyDescent="0.25">
      <c r="C65" s="242"/>
      <c r="D65" s="242"/>
      <c r="E65" s="242"/>
      <c r="F65" s="242"/>
      <c r="G65" s="242"/>
      <c r="H65" s="233">
        <f>SUM(H61:H64)</f>
        <v>783</v>
      </c>
      <c r="K65" s="233">
        <f>SUM(K61:K64)</f>
        <v>150</v>
      </c>
      <c r="L65" s="36"/>
    </row>
    <row r="66" spans="2:12" ht="23.25" thickTop="1" x14ac:dyDescent="0.2">
      <c r="C66" s="242"/>
      <c r="D66" s="242"/>
      <c r="E66" s="242"/>
      <c r="F66" s="242"/>
      <c r="G66" s="242"/>
      <c r="L66" s="36"/>
    </row>
    <row r="67" spans="2:12" x14ac:dyDescent="0.2">
      <c r="C67" s="242"/>
      <c r="D67" s="242"/>
      <c r="E67" s="242"/>
      <c r="F67" s="242"/>
      <c r="G67" s="242"/>
      <c r="L67" s="36"/>
    </row>
    <row r="68" spans="2:12" x14ac:dyDescent="0.2">
      <c r="C68" s="242"/>
      <c r="D68" s="242"/>
      <c r="E68" s="242"/>
      <c r="F68" s="242"/>
      <c r="G68" s="242"/>
      <c r="L68" s="36"/>
    </row>
    <row r="69" spans="2:12" x14ac:dyDescent="0.2">
      <c r="C69" s="242"/>
      <c r="D69" s="242"/>
      <c r="E69" s="242"/>
      <c r="F69" s="242"/>
      <c r="G69" s="242"/>
      <c r="L69" s="36"/>
    </row>
    <row r="70" spans="2:12" x14ac:dyDescent="0.2">
      <c r="C70" s="242"/>
      <c r="D70" s="242"/>
      <c r="E70" s="242"/>
      <c r="F70" s="242"/>
      <c r="G70" s="242"/>
      <c r="L70" s="36"/>
    </row>
    <row r="71" spans="2:12" x14ac:dyDescent="0.2">
      <c r="C71" s="242"/>
      <c r="D71" s="242"/>
      <c r="E71" s="242"/>
      <c r="F71" s="242"/>
      <c r="G71" s="242"/>
      <c r="L71" s="36"/>
    </row>
    <row r="72" spans="2:12" x14ac:dyDescent="0.2">
      <c r="C72" s="242"/>
      <c r="D72" s="242"/>
      <c r="E72" s="242"/>
      <c r="F72" s="242"/>
      <c r="G72" s="242"/>
      <c r="L72" s="36"/>
    </row>
    <row r="73" spans="2:12" x14ac:dyDescent="0.2">
      <c r="C73" s="242"/>
      <c r="D73" s="242"/>
      <c r="E73" s="242"/>
      <c r="F73" s="242"/>
      <c r="G73" s="242"/>
      <c r="L73" s="36"/>
    </row>
    <row r="74" spans="2:12" x14ac:dyDescent="0.2">
      <c r="C74" s="242"/>
      <c r="D74" s="242"/>
      <c r="E74" s="242"/>
      <c r="F74" s="242"/>
      <c r="G74" s="242"/>
      <c r="L74" s="36"/>
    </row>
    <row r="75" spans="2:12" x14ac:dyDescent="0.2">
      <c r="C75" s="242"/>
      <c r="D75" s="242"/>
      <c r="E75" s="242"/>
      <c r="F75" s="242"/>
      <c r="G75" s="242"/>
      <c r="L75" s="36"/>
    </row>
    <row r="76" spans="2:12" x14ac:dyDescent="0.2">
      <c r="B76" s="242"/>
      <c r="C76" s="242"/>
      <c r="D76" s="242"/>
      <c r="E76" s="242"/>
      <c r="F76" s="242"/>
      <c r="G76" s="242"/>
      <c r="L76" s="36"/>
    </row>
    <row r="77" spans="2:12" x14ac:dyDescent="0.2">
      <c r="B77" s="242"/>
      <c r="C77" s="242"/>
      <c r="D77" s="242"/>
      <c r="E77" s="242"/>
      <c r="F77" s="242"/>
      <c r="G77" s="242"/>
      <c r="L77" s="36"/>
    </row>
    <row r="78" spans="2:12" x14ac:dyDescent="0.2">
      <c r="B78" s="242"/>
      <c r="C78" s="242"/>
      <c r="D78" s="242"/>
      <c r="E78" s="242"/>
      <c r="F78" s="242"/>
      <c r="G78" s="242"/>
      <c r="L78" s="36"/>
    </row>
    <row r="79" spans="2:12" x14ac:dyDescent="0.2">
      <c r="B79" s="242"/>
      <c r="C79" s="242"/>
      <c r="D79" s="242"/>
      <c r="E79" s="242"/>
      <c r="F79" s="242"/>
      <c r="G79" s="242"/>
      <c r="L79" s="36"/>
    </row>
    <row r="80" spans="2:12" x14ac:dyDescent="0.2">
      <c r="B80" s="242"/>
      <c r="C80" s="242"/>
      <c r="D80" s="242"/>
      <c r="E80" s="242"/>
      <c r="F80" s="242"/>
      <c r="G80" s="242"/>
      <c r="H80" s="242"/>
      <c r="I80" s="242"/>
      <c r="J80" s="242"/>
      <c r="K80" s="242"/>
      <c r="L80" s="36"/>
    </row>
    <row r="81" spans="1:12" x14ac:dyDescent="0.2">
      <c r="B81" s="242"/>
      <c r="C81" s="242"/>
      <c r="D81" s="242"/>
      <c r="E81" s="242"/>
      <c r="F81" s="242"/>
      <c r="G81" s="242"/>
      <c r="H81" s="242"/>
      <c r="I81" s="242"/>
      <c r="J81" s="242"/>
      <c r="K81" s="242"/>
      <c r="L81" s="36"/>
    </row>
    <row r="82" spans="1:12" x14ac:dyDescent="0.2">
      <c r="B82" s="242"/>
      <c r="C82" s="242"/>
      <c r="D82" s="242"/>
      <c r="E82" s="242"/>
      <c r="F82" s="242"/>
      <c r="G82" s="242"/>
      <c r="H82" s="242"/>
      <c r="I82" s="242"/>
      <c r="J82" s="242"/>
      <c r="K82" s="242"/>
      <c r="L82" s="36"/>
    </row>
    <row r="83" spans="1:12" x14ac:dyDescent="0.2">
      <c r="A83" s="294">
        <v>14</v>
      </c>
      <c r="B83" s="294"/>
      <c r="C83" s="294"/>
      <c r="D83" s="294"/>
      <c r="E83" s="294"/>
      <c r="F83" s="294"/>
      <c r="G83" s="294"/>
      <c r="H83" s="294"/>
      <c r="I83" s="294"/>
      <c r="J83" s="294"/>
      <c r="K83" s="294"/>
    </row>
    <row r="86" spans="1:12" ht="20.100000000000001" customHeight="1" x14ac:dyDescent="0.2"/>
    <row r="87" spans="1:12" ht="20.100000000000001" customHeight="1" x14ac:dyDescent="0.2"/>
    <row r="88" spans="1:12" ht="20.100000000000001" customHeight="1" x14ac:dyDescent="0.2"/>
    <row r="89" spans="1:12" ht="20.100000000000001" customHeight="1" x14ac:dyDescent="0.2"/>
    <row r="90" spans="1:12" ht="20.100000000000001" customHeight="1" x14ac:dyDescent="0.2"/>
    <row r="91" spans="1:12" ht="20.100000000000001" customHeight="1" x14ac:dyDescent="0.2"/>
    <row r="92" spans="1:12" ht="20.100000000000001" customHeight="1" x14ac:dyDescent="0.2"/>
    <row r="93" spans="1:12" ht="20.100000000000001" customHeight="1" x14ac:dyDescent="0.2"/>
    <row r="94" spans="1:12" ht="20.100000000000001" customHeight="1" x14ac:dyDescent="0.2"/>
    <row r="95" spans="1:12" ht="20.100000000000001" customHeight="1" x14ac:dyDescent="0.2"/>
    <row r="96" spans="1:12" ht="20.100000000000001" customHeight="1" x14ac:dyDescent="0.2"/>
    <row r="97" ht="20.100000000000001" customHeight="1" x14ac:dyDescent="0.2"/>
    <row r="98" ht="20.100000000000001" customHeight="1" x14ac:dyDescent="0.2"/>
    <row r="99" ht="20.100000000000001" customHeight="1" x14ac:dyDescent="0.2"/>
    <row r="235" spans="1:11" x14ac:dyDescent="0.2">
      <c r="A235" s="39"/>
      <c r="B235" s="39"/>
      <c r="D235" s="39"/>
      <c r="E235" s="39"/>
      <c r="F235" s="39"/>
      <c r="G235" s="39"/>
      <c r="H235" s="39"/>
      <c r="I235" s="39"/>
      <c r="J235" s="39"/>
      <c r="K235" s="39"/>
    </row>
    <row r="236" spans="1:11" x14ac:dyDescent="0.2">
      <c r="A236" s="39"/>
      <c r="B236" s="39"/>
      <c r="D236" s="39"/>
      <c r="E236" s="39"/>
      <c r="F236" s="39"/>
      <c r="G236" s="39"/>
      <c r="H236" s="39"/>
      <c r="I236" s="39"/>
      <c r="J236" s="39"/>
      <c r="K236" s="39"/>
    </row>
    <row r="237" spans="1:11" x14ac:dyDescent="0.2">
      <c r="A237" s="39"/>
      <c r="B237" s="39"/>
      <c r="D237" s="39"/>
      <c r="E237" s="39"/>
      <c r="F237" s="39"/>
      <c r="G237" s="39"/>
      <c r="H237" s="39"/>
      <c r="I237" s="39"/>
      <c r="J237" s="39"/>
      <c r="K237" s="39"/>
    </row>
    <row r="238" spans="1:11" x14ac:dyDescent="0.2">
      <c r="A238" s="39"/>
      <c r="B238" s="39"/>
      <c r="D238" s="39"/>
      <c r="E238" s="39"/>
      <c r="F238" s="39"/>
      <c r="G238" s="39"/>
      <c r="H238" s="39"/>
      <c r="I238" s="39"/>
      <c r="J238" s="39"/>
      <c r="K238" s="39"/>
    </row>
    <row r="239" spans="1:11" x14ac:dyDescent="0.2">
      <c r="A239" s="39"/>
      <c r="B239" s="39"/>
      <c r="D239" s="39"/>
      <c r="E239" s="39"/>
      <c r="F239" s="39"/>
      <c r="G239" s="39"/>
      <c r="H239" s="39"/>
      <c r="I239" s="39"/>
      <c r="J239" s="39"/>
      <c r="K239" s="39"/>
    </row>
    <row r="240" spans="1:11" x14ac:dyDescent="0.2">
      <c r="A240" s="39"/>
      <c r="B240" s="39"/>
      <c r="D240" s="39"/>
      <c r="E240" s="39"/>
      <c r="F240" s="39"/>
      <c r="G240" s="39"/>
      <c r="H240" s="39"/>
      <c r="I240" s="39"/>
      <c r="J240" s="39"/>
      <c r="K240" s="39"/>
    </row>
    <row r="241" spans="1:11" x14ac:dyDescent="0.2">
      <c r="A241" s="39"/>
      <c r="B241" s="39"/>
      <c r="D241" s="39"/>
      <c r="E241" s="39"/>
      <c r="F241" s="39"/>
      <c r="G241" s="39"/>
      <c r="H241" s="39"/>
      <c r="I241" s="39"/>
      <c r="J241" s="39"/>
      <c r="K241" s="39"/>
    </row>
    <row r="242" spans="1:11" x14ac:dyDescent="0.2">
      <c r="A242" s="39"/>
      <c r="B242" s="39"/>
      <c r="D242" s="39"/>
      <c r="E242" s="39"/>
      <c r="F242" s="39"/>
      <c r="G242" s="39"/>
      <c r="H242" s="39"/>
      <c r="I242" s="39"/>
      <c r="J242" s="39"/>
      <c r="K242" s="39"/>
    </row>
    <row r="243" spans="1:11" x14ac:dyDescent="0.2">
      <c r="A243" s="39"/>
      <c r="B243" s="39"/>
      <c r="D243" s="39"/>
      <c r="E243" s="39"/>
      <c r="F243" s="39"/>
      <c r="G243" s="39"/>
      <c r="H243" s="39"/>
      <c r="I243" s="39"/>
      <c r="J243" s="39"/>
      <c r="K243" s="39"/>
    </row>
    <row r="244" spans="1:11" x14ac:dyDescent="0.2">
      <c r="A244" s="39"/>
      <c r="B244" s="39"/>
      <c r="D244" s="39"/>
      <c r="E244" s="39"/>
      <c r="F244" s="39"/>
      <c r="G244" s="39"/>
      <c r="H244" s="39"/>
      <c r="I244" s="39"/>
      <c r="J244" s="39"/>
      <c r="K244" s="39"/>
    </row>
    <row r="245" spans="1:11" x14ac:dyDescent="0.2">
      <c r="A245" s="39"/>
      <c r="B245" s="39"/>
      <c r="D245" s="39"/>
      <c r="E245" s="39"/>
      <c r="F245" s="39"/>
      <c r="G245" s="39"/>
      <c r="H245" s="39"/>
      <c r="I245" s="39"/>
      <c r="J245" s="39"/>
      <c r="K245" s="39"/>
    </row>
    <row r="246" spans="1:11" x14ac:dyDescent="0.2">
      <c r="A246" s="39"/>
      <c r="B246" s="39"/>
      <c r="D246" s="39"/>
      <c r="E246" s="39"/>
      <c r="F246" s="39"/>
      <c r="G246" s="39"/>
      <c r="H246" s="39"/>
      <c r="I246" s="39"/>
      <c r="J246" s="39"/>
      <c r="K246" s="39"/>
    </row>
    <row r="247" spans="1:11" x14ac:dyDescent="0.2">
      <c r="A247" s="39"/>
      <c r="B247" s="39"/>
      <c r="D247" s="39"/>
      <c r="E247" s="39"/>
      <c r="F247" s="39"/>
      <c r="G247" s="39"/>
      <c r="H247" s="39"/>
      <c r="I247" s="39"/>
      <c r="J247" s="39"/>
      <c r="K247" s="39"/>
    </row>
    <row r="248" spans="1:11" x14ac:dyDescent="0.2">
      <c r="A248" s="39"/>
      <c r="B248" s="39"/>
      <c r="D248" s="39"/>
      <c r="E248" s="39"/>
      <c r="F248" s="39"/>
      <c r="G248" s="39"/>
      <c r="H248" s="39"/>
      <c r="I248" s="39"/>
      <c r="J248" s="39"/>
      <c r="K248" s="39"/>
    </row>
    <row r="249" spans="1:11" x14ac:dyDescent="0.2">
      <c r="A249" s="39"/>
      <c r="B249" s="39"/>
      <c r="D249" s="39"/>
      <c r="E249" s="39"/>
      <c r="F249" s="39"/>
      <c r="G249" s="39"/>
      <c r="H249" s="39"/>
      <c r="I249" s="39"/>
      <c r="J249" s="39"/>
      <c r="K249" s="39"/>
    </row>
    <row r="250" spans="1:11" x14ac:dyDescent="0.2">
      <c r="A250" s="39"/>
      <c r="B250" s="39"/>
      <c r="D250" s="39"/>
      <c r="E250" s="39"/>
      <c r="F250" s="39"/>
      <c r="G250" s="39"/>
      <c r="H250" s="39"/>
      <c r="I250" s="39"/>
      <c r="J250" s="39"/>
      <c r="K250" s="39"/>
    </row>
  </sheetData>
  <customSheetViews>
    <customSheetView guid="{77FE9A31-615C-11D9-8076-000F3DEC765A}" hiddenColumns="1" showRuler="0" topLeftCell="A8">
      <selection activeCell="H8" sqref="H8"/>
      <pageMargins left="0" right="0.55118110236220474" top="0.19685039370078741" bottom="0" header="0.51181102362204722" footer="0.51181102362204722"/>
      <pageSetup paperSize="9" orientation="portrait" r:id="rId1"/>
      <headerFooter alignWithMargins="0">
        <oddFooter>&amp;Cصفحه (20)</oddFooter>
      </headerFooter>
    </customSheetView>
    <customSheetView guid="{8BABEDE0-61D1-11D9-A0C2-0080AD86BB50}" hiddenColumns="1" showRuler="0" topLeftCell="A8">
      <selection activeCell="H8" sqref="H8"/>
      <pageMargins left="0" right="0.55118110236220474" top="0.19685039370078741" bottom="0" header="0.51181102362204722" footer="0.51181102362204722"/>
      <pageSetup paperSize="9" orientation="portrait" r:id="rId2"/>
      <headerFooter alignWithMargins="0">
        <oddFooter>&amp;Cصفحه (20)</oddFooter>
      </headerFooter>
    </customSheetView>
  </customSheetViews>
  <mergeCells count="5">
    <mergeCell ref="B20:K21"/>
    <mergeCell ref="A83:K83"/>
    <mergeCell ref="A45:K45"/>
    <mergeCell ref="B55:K56"/>
    <mergeCell ref="B22:K22"/>
  </mergeCells>
  <phoneticPr fontId="0" type="noConversion"/>
  <printOptions horizontalCentered="1"/>
  <pageMargins left="0.59055118110236227" right="0.59055118110236227" top="1.1811023622047245" bottom="0.19685039370078741" header="0.23622047244094491" footer="0.27559055118110237"/>
  <pageSetup paperSize="9" scale="97" fitToHeight="2" orientation="portrait" blackAndWhite="1" r:id="rId3"/>
  <headerFooter alignWithMargins="0">
    <oddHeader>&amp;C&amp;"B Mitra,Bold"&amp;14&amp;Uشرکت شهاب صنعت ایساتیس (سهامی خاص)
یادداشتهای توضیحی صورتهای مالی
سال مالی منتهی به 29 اسفند ماه 1389</oddHeader>
  </headerFooter>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rightToLeft="1" zoomScaleSheetLayoutView="85" workbookViewId="0">
      <selection activeCell="E10" sqref="E10"/>
    </sheetView>
  </sheetViews>
  <sheetFormatPr defaultRowHeight="22.5" x14ac:dyDescent="0.2"/>
  <cols>
    <col min="1" max="1" width="5.42578125" style="16" bestFit="1" customWidth="1"/>
    <col min="2" max="2" width="8.42578125" style="41" customWidth="1"/>
    <col min="3" max="3" width="1.85546875" style="16" customWidth="1"/>
    <col min="4" max="4" width="12" style="16" customWidth="1"/>
    <col min="5" max="5" width="1.85546875" style="16" customWidth="1"/>
    <col min="6" max="6" width="12.7109375" style="16" customWidth="1"/>
    <col min="7" max="7" width="1.85546875" style="16" customWidth="1"/>
    <col min="8" max="8" width="7.85546875" style="16" customWidth="1"/>
    <col min="9" max="9" width="1.7109375" style="16" customWidth="1"/>
    <col min="10" max="10" width="8.140625" style="16" bestFit="1" customWidth="1"/>
    <col min="11" max="11" width="2.140625" style="16" customWidth="1"/>
    <col min="12" max="12" width="9.140625" style="16" customWidth="1"/>
    <col min="13" max="13" width="1.7109375" style="24" customWidth="1"/>
    <col min="14" max="14" width="8.28515625" style="24" bestFit="1" customWidth="1"/>
    <col min="15" max="15" width="1.85546875" style="24" customWidth="1"/>
    <col min="16" max="16" width="9.5703125" style="24" bestFit="1" customWidth="1"/>
    <col min="17" max="17" width="13.140625" style="24" hidden="1" customWidth="1"/>
    <col min="18" max="18" width="1.5703125" style="24" customWidth="1"/>
    <col min="19" max="19" width="16.140625" style="24" bestFit="1" customWidth="1"/>
    <col min="20" max="20" width="13.85546875" style="24" hidden="1" customWidth="1"/>
    <col min="21" max="21" width="1.5703125" style="24" customWidth="1"/>
    <col min="22" max="22" width="13" style="24" customWidth="1"/>
    <col min="23" max="16384" width="9.140625" style="24"/>
  </cols>
  <sheetData>
    <row r="1" spans="1:22" ht="23.1" customHeight="1" x14ac:dyDescent="0.55000000000000004">
      <c r="A1" s="25" t="s">
        <v>27</v>
      </c>
      <c r="B1" s="14" t="s">
        <v>16</v>
      </c>
      <c r="C1" s="31"/>
      <c r="D1" s="43"/>
      <c r="E1" s="43"/>
      <c r="F1" s="47"/>
      <c r="G1" s="43"/>
      <c r="H1" s="47"/>
      <c r="I1" s="43"/>
      <c r="M1" s="16"/>
    </row>
    <row r="2" spans="1:22" ht="23.1" customHeight="1" x14ac:dyDescent="0.55000000000000004">
      <c r="A2" s="30"/>
      <c r="B2" s="31" t="s">
        <v>144</v>
      </c>
      <c r="C2" s="31"/>
      <c r="D2" s="43"/>
      <c r="E2" s="43"/>
      <c r="F2" s="47"/>
      <c r="G2" s="43"/>
      <c r="H2" s="47"/>
      <c r="I2" s="43"/>
      <c r="M2" s="16"/>
    </row>
    <row r="3" spans="1:22" x14ac:dyDescent="0.2">
      <c r="B3" s="17" t="s">
        <v>386</v>
      </c>
    </row>
    <row r="4" spans="1:22" x14ac:dyDescent="0.2">
      <c r="S4" s="100" t="s">
        <v>200</v>
      </c>
    </row>
    <row r="5" spans="1:22" ht="30" customHeight="1" x14ac:dyDescent="0.2">
      <c r="C5" s="41"/>
      <c r="D5" s="273" t="s">
        <v>385</v>
      </c>
      <c r="E5" s="273"/>
      <c r="F5" s="273"/>
      <c r="G5" s="273"/>
      <c r="H5" s="273"/>
      <c r="I5" s="273"/>
      <c r="J5" s="273"/>
      <c r="K5" s="273"/>
      <c r="L5" s="273"/>
      <c r="M5" s="273"/>
      <c r="N5" s="273"/>
      <c r="O5" s="273"/>
      <c r="P5" s="273"/>
      <c r="Q5" s="21"/>
      <c r="R5" s="21"/>
      <c r="S5" s="269" t="s">
        <v>153</v>
      </c>
      <c r="T5" s="21"/>
      <c r="U5" s="21"/>
      <c r="V5" s="18" t="s">
        <v>154</v>
      </c>
    </row>
    <row r="6" spans="1:22" ht="30" customHeight="1" x14ac:dyDescent="0.2">
      <c r="B6" s="306" t="s">
        <v>145</v>
      </c>
      <c r="C6" s="41"/>
      <c r="D6" s="303" t="s">
        <v>146</v>
      </c>
      <c r="E6" s="41"/>
      <c r="F6" s="303" t="s">
        <v>232</v>
      </c>
      <c r="G6" s="41"/>
      <c r="H6" s="273" t="s">
        <v>152</v>
      </c>
      <c r="I6" s="273"/>
      <c r="J6" s="273"/>
      <c r="K6" s="273"/>
      <c r="L6" s="273"/>
      <c r="M6" s="273"/>
      <c r="N6" s="273"/>
      <c r="O6" s="273"/>
      <c r="P6" s="273"/>
      <c r="Q6" s="21"/>
      <c r="R6" s="21"/>
      <c r="S6" s="21"/>
      <c r="T6" s="21"/>
      <c r="U6" s="21"/>
      <c r="V6" s="21"/>
    </row>
    <row r="7" spans="1:22" ht="30" customHeight="1" x14ac:dyDescent="0.2">
      <c r="B7" s="273"/>
      <c r="C7" s="41"/>
      <c r="D7" s="304"/>
      <c r="E7" s="41"/>
      <c r="F7" s="304"/>
      <c r="G7" s="41"/>
      <c r="H7" s="18" t="s">
        <v>147</v>
      </c>
      <c r="I7" s="41"/>
      <c r="J7" s="18" t="s">
        <v>148</v>
      </c>
      <c r="K7" s="41"/>
      <c r="L7" s="18" t="s">
        <v>149</v>
      </c>
      <c r="M7" s="21"/>
      <c r="N7" s="18" t="s">
        <v>150</v>
      </c>
      <c r="O7" s="21"/>
      <c r="P7" s="18" t="s">
        <v>151</v>
      </c>
      <c r="Q7" s="21"/>
      <c r="R7" s="21"/>
      <c r="S7" s="18" t="s">
        <v>151</v>
      </c>
      <c r="T7" s="21"/>
      <c r="U7" s="21"/>
      <c r="V7" s="21"/>
    </row>
    <row r="8" spans="1:22" ht="30" customHeight="1" x14ac:dyDescent="0.2">
      <c r="B8" s="41">
        <v>1387</v>
      </c>
      <c r="D8" s="76">
        <v>-2329</v>
      </c>
      <c r="F8" s="219">
        <v>0</v>
      </c>
      <c r="H8" s="219">
        <v>0</v>
      </c>
      <c r="J8" s="76">
        <v>971</v>
      </c>
      <c r="L8" s="76">
        <v>785</v>
      </c>
      <c r="M8" s="23"/>
      <c r="N8" s="76">
        <v>-785</v>
      </c>
      <c r="P8" s="219">
        <v>0</v>
      </c>
      <c r="Q8" s="185"/>
      <c r="S8" s="76">
        <f>261+524</f>
        <v>785</v>
      </c>
      <c r="T8" s="185"/>
      <c r="V8" s="259" t="s">
        <v>336</v>
      </c>
    </row>
    <row r="9" spans="1:22" ht="30" customHeight="1" x14ac:dyDescent="0.2">
      <c r="B9" s="41">
        <v>1388</v>
      </c>
      <c r="D9" s="76">
        <v>154</v>
      </c>
      <c r="F9" s="76">
        <v>154</v>
      </c>
      <c r="H9" s="76">
        <v>39</v>
      </c>
      <c r="J9" s="76">
        <v>1176</v>
      </c>
      <c r="L9" s="76">
        <v>950</v>
      </c>
      <c r="M9" s="23"/>
      <c r="N9" s="76">
        <v>-39</v>
      </c>
      <c r="P9" s="219">
        <v>0</v>
      </c>
      <c r="Q9" s="185"/>
      <c r="S9" s="76">
        <v>39</v>
      </c>
      <c r="T9" s="185">
        <v>282228810</v>
      </c>
      <c r="V9" s="263" t="s">
        <v>365</v>
      </c>
    </row>
    <row r="10" spans="1:22" ht="30" customHeight="1" x14ac:dyDescent="0.2">
      <c r="B10" s="41">
        <v>1389</v>
      </c>
      <c r="D10" s="76">
        <v>769</v>
      </c>
      <c r="F10" s="76">
        <v>769</v>
      </c>
      <c r="H10" s="76">
        <v>192</v>
      </c>
      <c r="J10" s="219">
        <v>0</v>
      </c>
      <c r="K10" s="17"/>
      <c r="L10" s="219">
        <v>0</v>
      </c>
      <c r="M10" s="23"/>
      <c r="N10" s="219">
        <v>0</v>
      </c>
      <c r="O10" s="23"/>
      <c r="P10" s="219">
        <v>0</v>
      </c>
      <c r="Q10" s="188"/>
      <c r="R10" s="23"/>
      <c r="S10" s="219">
        <v>0</v>
      </c>
      <c r="T10" s="190"/>
      <c r="V10" s="263" t="s">
        <v>366</v>
      </c>
    </row>
    <row r="11" spans="1:22" ht="30" hidden="1" customHeight="1" x14ac:dyDescent="0.2">
      <c r="D11" s="305"/>
      <c r="E11" s="305"/>
      <c r="F11" s="305"/>
      <c r="H11" s="76"/>
      <c r="J11" s="206"/>
      <c r="K11" s="17"/>
      <c r="L11" s="206"/>
      <c r="M11" s="23"/>
      <c r="N11" s="206"/>
      <c r="O11" s="23"/>
      <c r="P11" s="207">
        <f>SUM(P9:P10)</f>
        <v>0</v>
      </c>
      <c r="Q11" s="188"/>
      <c r="R11" s="23"/>
      <c r="S11" s="207">
        <f>SUM(S8:S10)</f>
        <v>824</v>
      </c>
      <c r="T11" s="185"/>
    </row>
    <row r="12" spans="1:22" ht="30" hidden="1" customHeight="1" x14ac:dyDescent="0.2">
      <c r="D12" s="76" t="s">
        <v>259</v>
      </c>
      <c r="E12" s="76"/>
      <c r="F12" s="76"/>
      <c r="H12" s="76"/>
      <c r="J12" s="206"/>
      <c r="K12" s="17"/>
      <c r="L12" s="206"/>
      <c r="M12" s="23"/>
      <c r="N12" s="206"/>
      <c r="O12" s="23"/>
      <c r="P12" s="77"/>
      <c r="Q12" s="188"/>
      <c r="R12" s="23"/>
      <c r="S12" s="77"/>
      <c r="T12" s="185"/>
    </row>
    <row r="13" spans="1:22" ht="30" customHeight="1" thickBot="1" x14ac:dyDescent="0.25">
      <c r="P13" s="196">
        <f>SUM(P11:P12)</f>
        <v>0</v>
      </c>
      <c r="Q13" s="185">
        <f>SUM(Q9:Q10)</f>
        <v>0</v>
      </c>
      <c r="S13" s="65">
        <f>SUM(S11:S12)</f>
        <v>824</v>
      </c>
      <c r="T13" s="185">
        <f>SUM(T9:T10)</f>
        <v>282228810</v>
      </c>
    </row>
    <row r="14" spans="1:22" ht="23.25" thickTop="1" x14ac:dyDescent="0.2">
      <c r="B14" s="211"/>
      <c r="C14" s="211"/>
      <c r="D14" s="211"/>
      <c r="E14" s="211"/>
      <c r="F14" s="211"/>
      <c r="G14" s="211"/>
      <c r="H14" s="211"/>
      <c r="I14" s="211"/>
      <c r="J14" s="211"/>
      <c r="K14" s="211"/>
      <c r="L14" s="211"/>
      <c r="M14" s="211"/>
      <c r="N14" s="211"/>
      <c r="O14" s="211"/>
      <c r="P14" s="211"/>
      <c r="Q14" s="211"/>
      <c r="R14" s="211"/>
      <c r="S14" s="211"/>
      <c r="T14" s="211"/>
      <c r="U14" s="211"/>
      <c r="V14" s="211"/>
    </row>
    <row r="15" spans="1:22" x14ac:dyDescent="0.2">
      <c r="B15" s="211"/>
      <c r="C15" s="211"/>
      <c r="D15" s="211"/>
      <c r="E15" s="211"/>
      <c r="F15" s="211"/>
      <c r="G15" s="211"/>
      <c r="H15" s="211"/>
      <c r="I15" s="211"/>
      <c r="J15" s="211"/>
      <c r="K15" s="211"/>
      <c r="L15" s="211"/>
      <c r="M15" s="211"/>
      <c r="N15" s="211"/>
      <c r="O15" s="211"/>
      <c r="P15" s="211"/>
      <c r="Q15" s="211"/>
      <c r="R15" s="211"/>
      <c r="S15" s="211"/>
      <c r="T15" s="211"/>
      <c r="U15" s="211"/>
      <c r="V15" s="211"/>
    </row>
    <row r="16" spans="1:22" x14ac:dyDescent="0.2">
      <c r="B16" s="211"/>
      <c r="C16" s="211"/>
      <c r="D16" s="211"/>
      <c r="E16" s="211"/>
      <c r="F16" s="211"/>
      <c r="G16" s="211"/>
      <c r="H16" s="211"/>
      <c r="I16" s="211"/>
      <c r="J16" s="211"/>
      <c r="K16" s="211"/>
      <c r="L16" s="211"/>
      <c r="M16" s="211"/>
      <c r="N16" s="211"/>
      <c r="O16" s="211"/>
      <c r="P16" s="211"/>
      <c r="Q16" s="211"/>
      <c r="R16" s="211"/>
      <c r="S16" s="211"/>
      <c r="T16" s="211"/>
      <c r="U16" s="211"/>
      <c r="V16" s="211"/>
    </row>
    <row r="17" spans="1:22" x14ac:dyDescent="0.2">
      <c r="B17" s="211"/>
      <c r="C17" s="211"/>
      <c r="D17" s="211"/>
      <c r="E17" s="211"/>
      <c r="F17" s="211"/>
      <c r="G17" s="211"/>
      <c r="H17" s="211"/>
      <c r="I17" s="211"/>
      <c r="J17" s="211"/>
      <c r="K17" s="211"/>
      <c r="L17" s="211"/>
      <c r="M17" s="211"/>
      <c r="N17" s="211"/>
      <c r="O17" s="211"/>
      <c r="P17" s="211"/>
      <c r="Q17" s="211"/>
      <c r="R17" s="211"/>
      <c r="S17" s="211"/>
      <c r="T17" s="211"/>
      <c r="U17" s="211"/>
      <c r="V17" s="211"/>
    </row>
    <row r="18" spans="1:22" x14ac:dyDescent="0.2">
      <c r="B18" s="211"/>
      <c r="C18" s="211"/>
      <c r="D18" s="211"/>
      <c r="E18" s="211"/>
      <c r="F18" s="211"/>
      <c r="G18" s="211"/>
      <c r="H18" s="211"/>
      <c r="I18" s="211"/>
      <c r="J18" s="211"/>
      <c r="K18" s="211"/>
      <c r="L18" s="211"/>
      <c r="M18" s="211"/>
      <c r="N18" s="211"/>
      <c r="O18" s="211"/>
      <c r="P18" s="211"/>
      <c r="Q18" s="211"/>
      <c r="R18" s="211"/>
      <c r="S18" s="211"/>
      <c r="T18" s="211"/>
      <c r="U18" s="211"/>
      <c r="V18" s="211"/>
    </row>
    <row r="19" spans="1:22" x14ac:dyDescent="0.2">
      <c r="B19" s="211"/>
      <c r="C19" s="211"/>
      <c r="D19" s="211"/>
      <c r="E19" s="211"/>
      <c r="F19" s="211"/>
      <c r="G19" s="211"/>
      <c r="H19" s="211"/>
      <c r="I19" s="211"/>
      <c r="J19" s="211"/>
      <c r="K19" s="211"/>
      <c r="L19" s="211"/>
      <c r="M19" s="211"/>
      <c r="N19" s="211"/>
      <c r="O19" s="211"/>
      <c r="P19" s="211"/>
      <c r="Q19" s="211"/>
      <c r="R19" s="211"/>
      <c r="S19" s="211"/>
      <c r="T19" s="211"/>
      <c r="U19" s="211"/>
      <c r="V19" s="211"/>
    </row>
    <row r="20" spans="1:22" x14ac:dyDescent="0.2">
      <c r="B20" s="211"/>
      <c r="C20" s="211"/>
      <c r="D20" s="211"/>
      <c r="E20" s="211"/>
      <c r="F20" s="211"/>
      <c r="G20" s="211"/>
      <c r="H20" s="211"/>
      <c r="I20" s="211"/>
      <c r="J20" s="211"/>
      <c r="K20" s="211"/>
      <c r="L20" s="211"/>
      <c r="M20" s="211"/>
      <c r="N20" s="211"/>
      <c r="O20" s="211"/>
      <c r="P20" s="211"/>
      <c r="Q20" s="211"/>
      <c r="R20" s="211"/>
      <c r="S20" s="211"/>
      <c r="T20" s="211"/>
      <c r="U20" s="211"/>
      <c r="V20" s="211"/>
    </row>
    <row r="21" spans="1:22" x14ac:dyDescent="0.2">
      <c r="B21" s="211"/>
      <c r="C21" s="211"/>
      <c r="D21" s="211"/>
      <c r="E21" s="211"/>
      <c r="F21" s="211"/>
      <c r="G21" s="211"/>
      <c r="H21" s="211"/>
      <c r="I21" s="211"/>
      <c r="J21" s="211"/>
      <c r="K21" s="211"/>
      <c r="L21" s="211"/>
      <c r="M21" s="211"/>
      <c r="N21" s="211"/>
      <c r="O21" s="211"/>
      <c r="P21" s="211"/>
      <c r="Q21" s="211"/>
      <c r="R21" s="211"/>
      <c r="S21" s="211"/>
      <c r="T21" s="211"/>
      <c r="U21" s="211"/>
      <c r="V21" s="211"/>
    </row>
    <row r="22" spans="1:22" x14ac:dyDescent="0.2">
      <c r="A22" s="292">
        <v>15</v>
      </c>
      <c r="B22" s="292"/>
      <c r="C22" s="292"/>
      <c r="D22" s="292"/>
      <c r="E22" s="292"/>
      <c r="F22" s="292"/>
      <c r="G22" s="292"/>
      <c r="H22" s="292"/>
      <c r="I22" s="292"/>
      <c r="J22" s="292"/>
      <c r="K22" s="292"/>
      <c r="L22" s="292"/>
      <c r="M22" s="292"/>
      <c r="N22" s="292"/>
      <c r="O22" s="292"/>
      <c r="P22" s="292"/>
      <c r="Q22" s="292"/>
      <c r="R22" s="292"/>
      <c r="S22" s="292"/>
      <c r="T22" s="292"/>
      <c r="U22" s="292"/>
      <c r="V22" s="292"/>
    </row>
  </sheetData>
  <mergeCells count="7">
    <mergeCell ref="D5:P5"/>
    <mergeCell ref="H6:P6"/>
    <mergeCell ref="F6:F7"/>
    <mergeCell ref="A22:V22"/>
    <mergeCell ref="D11:F11"/>
    <mergeCell ref="D6:D7"/>
    <mergeCell ref="B6:B7"/>
  </mergeCells>
  <phoneticPr fontId="2" type="noConversion"/>
  <printOptions horizontalCentered="1"/>
  <pageMargins left="0.51181102362204722" right="0.43307086614173229" top="1.3779527559055118" bottom="0.39370078740157483" header="0.39370078740157483" footer="0.51181102362204722"/>
  <pageSetup fitToHeight="2" orientation="landscape" r:id="rId1"/>
  <headerFooter alignWithMargins="0">
    <oddHeader>&amp;C&amp;"B Mitra,Bold"&amp;14&amp;Uشرکت شهاب صنعت ایساتیس (سهامی خاص)
یادداشتهای توضیحی صورتهای مالی
سال مالی منتهی به 29 اسفند ماه 1389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outs:outSpaceData xmlns:outs="http://schemas.microsoft.com/office/2009/outspace/metadata">
  <outs:relatedDates>
    <outs:relatedDate>
      <outs:type>3</outs:type>
      <outs:displayName>Last Modified</outs:displayName>
      <outs:dateTime>2010-10-31T05:03:33Z</outs:dateTime>
      <outs:isPinned>true</outs:isPinned>
    </outs:relatedDate>
    <outs:relatedDate>
      <outs:type>2</outs:type>
      <outs:displayName>Created</outs:displayName>
      <outs:dateTime>2004-04-26T05:38:55Z</outs:dateTime>
      <outs:isPinned>true</outs:isPinned>
    </outs:relatedDate>
    <outs:relatedDate>
      <outs:type>4</outs:type>
      <outs:displayName>Last Printed</outs:displayName>
      <outs:dateTime>2010-07-09T11:08:06Z</outs:dateTime>
      <outs:isPinned>true</outs:isPinned>
    </outs:relatedDate>
  </outs:relatedDates>
  <outs:relatedDocuments>
    <outs:relatedDocument>
      <outs:type>2</outs:type>
      <outs:displayName>Other documents in current folder</outs:displayName>
      <outs:uri/>
      <outs:isPinned>true</outs:isPinned>
    </outs:relatedDocument>
  </outs:relatedDocuments>
  <outs:relatedPeople>
    <outs:relatedPeopleItem>
      <outs:category>Author</outs:category>
      <outs:people>
        <outs:relatedPerson>
          <outs:displayName>a</outs:displayName>
          <outs:accountName/>
        </outs:relatedPerson>
      </outs:people>
      <outs:source>0</outs:source>
      <outs:isPinned>true</outs:isPinned>
    </outs:relatedPeopleItem>
    <outs:relatedPeopleItem>
      <outs:category>Last modified by</outs:category>
      <outs:people>
        <outs:relatedPerson>
          <outs:displayName>mohammad</outs:displayName>
          <outs:accountName/>
        </outs:relatedPerson>
      </outs:people>
      <outs:source>0</outs:source>
      <outs:isPinned>true</outs:isPinned>
    </outs:relatedPeopleItem>
    <outs:relatedPeopleItem>
      <outs:category>Manager</outs:category>
      <outs:people/>
      <outs:source>0</outs:source>
      <outs:isPinned>false</outs:isPinned>
    </outs:relatedPeopleItem>
  </outs:relatedPeople>
  <propertyMetadataList xmlns="http://schemas.microsoft.com/office/2009/outspace/metadata">
    <propertyMetadata>
      <type>0</type>
      <propertyId>2228224</propertyId>
      <propertyName/>
      <isPinned>true</isPinned>
    </propertyMetadata>
    <propertyMetadata>
      <type>0</type>
      <propertyId>14</propertyId>
      <propertyName/>
      <isPinned>true</isPinned>
    </propertyMetadata>
    <propertyMetadata>
      <type>0</type>
      <propertyId>8</propertyId>
      <propertyName/>
      <isPinned>true</isPinned>
    </propertyMetadata>
    <propertyMetadata>
      <type>0</type>
      <propertyId>6</propertyId>
      <propertyName/>
      <isPinned>false</isPinned>
    </propertyMetadata>
    <propertyMetadata>
      <type>0</type>
      <propertyId>655365</propertyId>
      <propertyName/>
      <isPinned>false</isPinned>
    </propertyMetadata>
    <propertyMetadata>
      <type>0</type>
      <propertyId>1</propertyId>
      <propertyName/>
      <isPinned>false</isPinned>
    </propertyMetadata>
    <propertyMetadata>
      <type>0</type>
      <propertyId>0</propertyId>
      <propertyName/>
      <isPinned>true</isPinned>
    </propertyMetadata>
    <propertyMetadata>
      <type>0</type>
      <propertyId>13</propertyId>
      <propertyName/>
      <isPinned>false</isPinned>
    </propertyMetadata>
    <propertyMetadata>
      <type>0</type>
      <propertyId>1179653</propertyId>
      <propertyName/>
      <isPinned>false</isPinned>
    </propertyMetadata>
    <propertyMetadata>
      <type>0</type>
      <propertyId>22</propertyId>
      <propertyName/>
      <isPinned>false</isPinned>
    </propertyMetadata>
  </propertyMetadataList>
  <outs:corruptMetadataWasLost/>
</outs:outSpaceData>
</file>

<file path=customXml/itemProps1.xml><?xml version="1.0" encoding="utf-8"?>
<ds:datastoreItem xmlns:ds="http://schemas.openxmlformats.org/officeDocument/2006/customXml" ds:itemID="{463B5C12-7F73-471E-950E-6367411D3BCE}">
  <ds:schemaRefs>
    <ds:schemaRef ds:uri="http://schemas.microsoft.com/office/2009/outspace/metadat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assembly</vt:lpstr>
      <vt:lpstr>balance sheet</vt:lpstr>
      <vt:lpstr>income</vt:lpstr>
      <vt:lpstr>history.</vt:lpstr>
      <vt:lpstr>4-5-6</vt:lpstr>
      <vt:lpstr>7-8</vt:lpstr>
      <vt:lpstr>9</vt:lpstr>
      <vt:lpstr>10-11-12-13</vt:lpstr>
      <vt:lpstr>14</vt:lpstr>
      <vt:lpstr>15</vt:lpstr>
      <vt:lpstr>16-17</vt:lpstr>
      <vt:lpstr>18</vt:lpstr>
      <vt:lpstr>19</vt:lpstr>
      <vt:lpstr>19-1</vt:lpstr>
      <vt:lpstr>20</vt:lpstr>
      <vt:lpstr>21-22-23</vt:lpstr>
      <vt:lpstr>'7-8'!Print_Area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hajimohamadi</cp:lastModifiedBy>
  <cp:lastPrinted>2011-05-05T15:26:05Z</cp:lastPrinted>
  <dcterms:created xsi:type="dcterms:W3CDTF">2004-04-26T05:38:55Z</dcterms:created>
  <dcterms:modified xsi:type="dcterms:W3CDTF">2015-08-03T08:00:54Z</dcterms:modified>
</cp:coreProperties>
</file>